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R:\NCCPM\NCCPM\NHSBSP\Publications\Report0604update_V4.1\FinalVersion\"/>
    </mc:Choice>
  </mc:AlternateContent>
  <bookViews>
    <workbookView xWindow="32760" yWindow="32760" windowWidth="20916" windowHeight="6408"/>
  </bookViews>
  <sheets>
    <sheet name="QAReport" sheetId="10" r:id="rId1"/>
    <sheet name="TG18" sheetId="5" r:id="rId2"/>
    <sheet name="unfors" sheetId="11" r:id="rId3"/>
  </sheets>
  <externalReferences>
    <externalReference r:id="rId4"/>
    <externalReference r:id="rId5"/>
  </externalReferences>
  <definedNames>
    <definedName name="CR_report">[1]CR!$A$208:$K$713</definedName>
    <definedName name="CR_summary">[1]CR!$A$144:$K$206</definedName>
    <definedName name="DOV">[2]QAreport!$D$11</definedName>
    <definedName name="Dspl_report">[1]Display!$A$64:$K$247</definedName>
    <definedName name="Dspl_summary">[1]Display!$A$1:$K$63</definedName>
    <definedName name="Intro">[1]CR!$A$16:$K$79</definedName>
    <definedName name="_xlnm.Print_Area" localSheetId="0">QAReport!$A$1:$K$57</definedName>
    <definedName name="_xlnm.Print_Area" localSheetId="1">'TG18'!$A$1:$J$119</definedName>
    <definedName name="Printer_report">[1]Printer!$A$64:$K$249</definedName>
    <definedName name="Printer_summary">[1]Printer!$A$1:$K$63</definedName>
    <definedName name="System_info">[1]CR!$A$80:$K$143</definedName>
    <definedName name="tube">[2]QAreport!$I$8</definedName>
    <definedName name="WBCM_IN">[1]CR!$K$502</definedName>
  </definedNames>
  <calcPr calcId="162913"/>
</workbook>
</file>

<file path=xl/calcChain.xml><?xml version="1.0" encoding="utf-8"?>
<calcChain xmlns="http://schemas.openxmlformats.org/spreadsheetml/2006/main">
  <c r="J1" i="5" l="1"/>
  <c r="J2" i="5"/>
  <c r="F34" i="10"/>
  <c r="H34" i="10"/>
  <c r="D10" i="5"/>
  <c r="D52" i="5"/>
  <c r="B14" i="5"/>
  <c r="C14" i="5"/>
  <c r="C32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B15" i="5"/>
  <c r="P15" i="5"/>
  <c r="C15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29" i="5"/>
  <c r="O30" i="5"/>
  <c r="O31" i="5"/>
  <c r="B16" i="5"/>
  <c r="B58" i="5"/>
  <c r="P58" i="5"/>
  <c r="C16" i="5"/>
  <c r="B17" i="5"/>
  <c r="P17" i="5"/>
  <c r="C17" i="5"/>
  <c r="B18" i="5"/>
  <c r="P18" i="5"/>
  <c r="C18" i="5"/>
  <c r="B19" i="5"/>
  <c r="B61" i="5"/>
  <c r="P61" i="5"/>
  <c r="C19" i="5"/>
  <c r="B20" i="5"/>
  <c r="P20" i="5"/>
  <c r="C20" i="5"/>
  <c r="B21" i="5"/>
  <c r="B63" i="5"/>
  <c r="P63" i="5"/>
  <c r="C21" i="5"/>
  <c r="B22" i="5"/>
  <c r="P22" i="5"/>
  <c r="C22" i="5"/>
  <c r="B23" i="5"/>
  <c r="C23" i="5"/>
  <c r="P23" i="5"/>
  <c r="B24" i="5"/>
  <c r="P24" i="5"/>
  <c r="C24" i="5"/>
  <c r="B25" i="5"/>
  <c r="C25" i="5"/>
  <c r="P25" i="5"/>
  <c r="B26" i="5"/>
  <c r="C26" i="5"/>
  <c r="P26" i="5"/>
  <c r="B27" i="5"/>
  <c r="C27" i="5"/>
  <c r="P27" i="5"/>
  <c r="B28" i="5"/>
  <c r="C28" i="5"/>
  <c r="P28" i="5"/>
  <c r="B29" i="5"/>
  <c r="C29" i="5"/>
  <c r="P29" i="5"/>
  <c r="B30" i="5"/>
  <c r="C30" i="5"/>
  <c r="P30" i="5"/>
  <c r="B31" i="5"/>
  <c r="C31" i="5"/>
  <c r="P31" i="5"/>
  <c r="A55" i="5"/>
  <c r="B56" i="5"/>
  <c r="C56" i="5"/>
  <c r="C75" i="5"/>
  <c r="F39" i="10"/>
  <c r="H39" i="10"/>
  <c r="A57" i="5"/>
  <c r="B57" i="5"/>
  <c r="C57" i="5"/>
  <c r="O57" i="5"/>
  <c r="O58" i="5"/>
  <c r="O59" i="5"/>
  <c r="O60" i="5"/>
  <c r="O61" i="5"/>
  <c r="O62" i="5"/>
  <c r="O63" i="5"/>
  <c r="O64" i="5"/>
  <c r="O65" i="5"/>
  <c r="O66" i="5"/>
  <c r="O67" i="5"/>
  <c r="O68" i="5"/>
  <c r="O69" i="5"/>
  <c r="O70" i="5"/>
  <c r="O71" i="5"/>
  <c r="O72" i="5"/>
  <c r="O73" i="5"/>
  <c r="P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C58" i="5"/>
  <c r="B59" i="5"/>
  <c r="P59" i="5"/>
  <c r="C59" i="5"/>
  <c r="B60" i="5"/>
  <c r="P60" i="5"/>
  <c r="C60" i="5"/>
  <c r="C61" i="5"/>
  <c r="B62" i="5"/>
  <c r="P62" i="5"/>
  <c r="C62" i="5"/>
  <c r="C63" i="5"/>
  <c r="C64" i="5"/>
  <c r="B65" i="5"/>
  <c r="P65" i="5"/>
  <c r="C65" i="5"/>
  <c r="C66" i="5"/>
  <c r="B67" i="5"/>
  <c r="P67" i="5"/>
  <c r="C67" i="5"/>
  <c r="B68" i="5"/>
  <c r="C68" i="5"/>
  <c r="P68" i="5"/>
  <c r="B69" i="5"/>
  <c r="C69" i="5"/>
  <c r="P69" i="5"/>
  <c r="B70" i="5"/>
  <c r="C70" i="5"/>
  <c r="P70" i="5"/>
  <c r="B71" i="5"/>
  <c r="P71" i="5"/>
  <c r="C71" i="5"/>
  <c r="B72" i="5"/>
  <c r="P72" i="5"/>
  <c r="C72" i="5"/>
  <c r="B73" i="5"/>
  <c r="P73" i="5"/>
  <c r="C73" i="5"/>
  <c r="J77" i="5"/>
  <c r="J78" i="5"/>
  <c r="C87" i="5"/>
  <c r="D87" i="5"/>
  <c r="E87" i="5"/>
  <c r="C89" i="5"/>
  <c r="F54" i="10"/>
  <c r="H54" i="10"/>
  <c r="F87" i="5"/>
  <c r="G87" i="5"/>
  <c r="C93" i="5"/>
  <c r="D93" i="5"/>
  <c r="E93" i="5"/>
  <c r="F93" i="5"/>
  <c r="G93" i="5"/>
  <c r="C100" i="5"/>
  <c r="D100" i="5"/>
  <c r="E100" i="5"/>
  <c r="F100" i="5"/>
  <c r="G100" i="5"/>
  <c r="C106" i="5"/>
  <c r="D106" i="5"/>
  <c r="E106" i="5"/>
  <c r="F106" i="5"/>
  <c r="G106" i="5"/>
  <c r="C37" i="10"/>
  <c r="F46" i="10"/>
  <c r="P46" i="10"/>
  <c r="C47" i="10"/>
  <c r="F56" i="10"/>
  <c r="C108" i="5"/>
  <c r="F45" i="10"/>
  <c r="H45" i="10"/>
  <c r="F107" i="5"/>
  <c r="E107" i="5"/>
  <c r="G88" i="5"/>
  <c r="C33" i="5"/>
  <c r="F49" i="10"/>
  <c r="H49" i="10"/>
  <c r="D28" i="5"/>
  <c r="D27" i="5"/>
  <c r="D21" i="5"/>
  <c r="D18" i="5"/>
  <c r="D17" i="5"/>
  <c r="D26" i="5"/>
  <c r="D31" i="5"/>
  <c r="F27" i="5"/>
  <c r="D15" i="5"/>
  <c r="D20" i="5"/>
  <c r="D69" i="5"/>
  <c r="D29" i="5"/>
  <c r="D25" i="5"/>
  <c r="D16" i="5"/>
  <c r="D14" i="5"/>
  <c r="Q14" i="5"/>
  <c r="D30" i="5"/>
  <c r="D19" i="5"/>
  <c r="D23" i="5"/>
  <c r="D22" i="5"/>
  <c r="F36" i="10"/>
  <c r="D24" i="5"/>
  <c r="D107" i="5"/>
  <c r="G107" i="5"/>
  <c r="G94" i="5"/>
  <c r="C95" i="5"/>
  <c r="F44" i="10"/>
  <c r="H44" i="10"/>
  <c r="E94" i="5"/>
  <c r="F94" i="5"/>
  <c r="D94" i="5"/>
  <c r="C102" i="5"/>
  <c r="F55" i="10"/>
  <c r="H55" i="10"/>
  <c r="F101" i="5"/>
  <c r="D101" i="5"/>
  <c r="G101" i="5"/>
  <c r="E88" i="5"/>
  <c r="F88" i="5"/>
  <c r="D88" i="5"/>
  <c r="L36" i="10"/>
  <c r="H36" i="10"/>
  <c r="F48" i="10"/>
  <c r="H48" i="10"/>
  <c r="D67" i="5"/>
  <c r="D58" i="5"/>
  <c r="D60" i="5"/>
  <c r="D71" i="5"/>
  <c r="D61" i="5"/>
  <c r="D63" i="5"/>
  <c r="D73" i="5"/>
  <c r="D57" i="5"/>
  <c r="D62" i="5"/>
  <c r="D68" i="5"/>
  <c r="D64" i="5"/>
  <c r="D70" i="5"/>
  <c r="D59" i="5"/>
  <c r="D66" i="5"/>
  <c r="D56" i="5"/>
  <c r="D65" i="5"/>
  <c r="D72" i="5"/>
  <c r="P19" i="5"/>
  <c r="P21" i="5"/>
  <c r="B64" i="5"/>
  <c r="P64" i="5"/>
  <c r="B66" i="5"/>
  <c r="P66" i="5"/>
  <c r="P16" i="5"/>
  <c r="C74" i="5"/>
  <c r="E101" i="5"/>
  <c r="F16" i="5"/>
  <c r="F26" i="5"/>
  <c r="F24" i="5"/>
  <c r="F32" i="5"/>
  <c r="F50" i="10"/>
  <c r="F31" i="5"/>
  <c r="F29" i="5"/>
  <c r="F28" i="5"/>
  <c r="F21" i="5"/>
  <c r="F17" i="5"/>
  <c r="Q31" i="5"/>
  <c r="R31" i="5"/>
  <c r="E31" i="5"/>
  <c r="F25" i="5"/>
  <c r="F20" i="5"/>
  <c r="F18" i="5"/>
  <c r="F30" i="5"/>
  <c r="F22" i="5"/>
  <c r="F19" i="5"/>
  <c r="F15" i="5"/>
  <c r="R14" i="5"/>
  <c r="E14" i="5"/>
  <c r="F23" i="5"/>
  <c r="F33" i="5"/>
  <c r="F51" i="10"/>
  <c r="H51" i="10"/>
  <c r="Q56" i="5"/>
  <c r="R56" i="5"/>
  <c r="Q79" i="5"/>
  <c r="F75" i="5"/>
  <c r="F62" i="5"/>
  <c r="F67" i="5"/>
  <c r="F63" i="5"/>
  <c r="F64" i="5"/>
  <c r="F65" i="5"/>
  <c r="F58" i="5"/>
  <c r="F69" i="5"/>
  <c r="F66" i="5"/>
  <c r="Q73" i="5"/>
  <c r="R73" i="5"/>
  <c r="F61" i="5"/>
  <c r="F72" i="5"/>
  <c r="F60" i="5"/>
  <c r="F71" i="5"/>
  <c r="F70" i="5"/>
  <c r="F73" i="5"/>
  <c r="F68" i="5"/>
  <c r="F57" i="5"/>
  <c r="F59" i="5"/>
  <c r="F38" i="10"/>
  <c r="H38" i="10"/>
  <c r="F74" i="5"/>
  <c r="F40" i="10"/>
  <c r="V14" i="5"/>
  <c r="W14" i="5"/>
  <c r="Q36" i="5"/>
  <c r="W31" i="5"/>
  <c r="V31" i="5"/>
  <c r="I33" i="5"/>
  <c r="F42" i="10"/>
  <c r="H42" i="10"/>
  <c r="Q35" i="5"/>
  <c r="V73" i="5"/>
  <c r="E73" i="5"/>
  <c r="W73" i="5"/>
  <c r="Q78" i="5"/>
  <c r="V56" i="5"/>
  <c r="E56" i="5"/>
  <c r="W56" i="5"/>
  <c r="F41" i="10"/>
  <c r="H41" i="10"/>
  <c r="I75" i="5"/>
  <c r="R28" i="5"/>
  <c r="E28" i="5"/>
  <c r="R18" i="5"/>
  <c r="Q18" i="5"/>
  <c r="S18" i="5"/>
  <c r="X18" i="5"/>
  <c r="R27" i="5"/>
  <c r="Q27" i="5"/>
  <c r="R23" i="5"/>
  <c r="Q23" i="5"/>
  <c r="R17" i="5"/>
  <c r="Q17" i="5"/>
  <c r="R20" i="5"/>
  <c r="V20" i="5"/>
  <c r="R21" i="5"/>
  <c r="V21" i="5"/>
  <c r="R15" i="5"/>
  <c r="W15" i="5"/>
  <c r="F52" i="10"/>
  <c r="H52" i="10"/>
  <c r="E15" i="5"/>
  <c r="H15" i="5"/>
  <c r="R16" i="5"/>
  <c r="AA16" i="5"/>
  <c r="Q21" i="5"/>
  <c r="R22" i="5"/>
  <c r="R19" i="5"/>
  <c r="R26" i="5"/>
  <c r="R24" i="5"/>
  <c r="R30" i="5"/>
  <c r="R25" i="5"/>
  <c r="R29" i="5"/>
  <c r="W21" i="5"/>
  <c r="E17" i="5"/>
  <c r="R71" i="5"/>
  <c r="R61" i="5"/>
  <c r="R68" i="5"/>
  <c r="R70" i="5"/>
  <c r="R67" i="5"/>
  <c r="R65" i="5"/>
  <c r="R62" i="5"/>
  <c r="R72" i="5"/>
  <c r="R57" i="5"/>
  <c r="R66" i="5"/>
  <c r="R59" i="5"/>
  <c r="R63" i="5"/>
  <c r="R60" i="5"/>
  <c r="R58" i="5"/>
  <c r="R64" i="5"/>
  <c r="R69" i="5"/>
  <c r="Q28" i="5"/>
  <c r="S28" i="5"/>
  <c r="U28" i="5"/>
  <c r="Z28" i="5"/>
  <c r="V17" i="5"/>
  <c r="AA21" i="5"/>
  <c r="W20" i="5"/>
  <c r="W28" i="5"/>
  <c r="E20" i="5"/>
  <c r="E27" i="5"/>
  <c r="G28" i="5"/>
  <c r="V28" i="5"/>
  <c r="AA17" i="5"/>
  <c r="Q20" i="5"/>
  <c r="S21" i="5"/>
  <c r="T21" i="5"/>
  <c r="Y21" i="5"/>
  <c r="W17" i="5"/>
  <c r="AA29" i="5"/>
  <c r="V18" i="5"/>
  <c r="E18" i="5"/>
  <c r="H18" i="5"/>
  <c r="E21" i="5"/>
  <c r="H21" i="5"/>
  <c r="G15" i="5"/>
  <c r="AA22" i="5"/>
  <c r="V23" i="5"/>
  <c r="E23" i="5"/>
  <c r="AA18" i="5"/>
  <c r="AA19" i="5"/>
  <c r="W23" i="5"/>
  <c r="V27" i="5"/>
  <c r="AA28" i="5"/>
  <c r="W18" i="5"/>
  <c r="W27" i="5"/>
  <c r="W16" i="5"/>
  <c r="Q16" i="5"/>
  <c r="S17" i="5"/>
  <c r="T17" i="5"/>
  <c r="Y17" i="5"/>
  <c r="V15" i="5"/>
  <c r="Q15" i="5"/>
  <c r="S15" i="5"/>
  <c r="T15" i="5"/>
  <c r="Y15" i="5"/>
  <c r="E16" i="5"/>
  <c r="H16" i="5"/>
  <c r="AA15" i="5"/>
  <c r="V16" i="5"/>
  <c r="V26" i="5"/>
  <c r="E26" i="5"/>
  <c r="H27" i="5"/>
  <c r="Q26" i="5"/>
  <c r="W26" i="5"/>
  <c r="V24" i="5"/>
  <c r="AA25" i="5"/>
  <c r="W24" i="5"/>
  <c r="Q24" i="5"/>
  <c r="S24" i="5"/>
  <c r="T24" i="5"/>
  <c r="Y24" i="5"/>
  <c r="E24" i="5"/>
  <c r="E19" i="5"/>
  <c r="W19" i="5"/>
  <c r="V19" i="5"/>
  <c r="Q19" i="5"/>
  <c r="S19" i="5"/>
  <c r="X19" i="5"/>
  <c r="AA27" i="5"/>
  <c r="AA20" i="5"/>
  <c r="AA31" i="5"/>
  <c r="E30" i="5"/>
  <c r="Q30" i="5"/>
  <c r="W30" i="5"/>
  <c r="V30" i="5"/>
  <c r="W22" i="5"/>
  <c r="V22" i="5"/>
  <c r="E22" i="5"/>
  <c r="Q22" i="5"/>
  <c r="AA24" i="5"/>
  <c r="AA23" i="5"/>
  <c r="W29" i="5"/>
  <c r="V29" i="5"/>
  <c r="Q29" i="5"/>
  <c r="E29" i="5"/>
  <c r="AA30" i="5"/>
  <c r="U18" i="5"/>
  <c r="Z18" i="5"/>
  <c r="AA26" i="5"/>
  <c r="Q25" i="5"/>
  <c r="W25" i="5"/>
  <c r="V25" i="5"/>
  <c r="E25" i="5"/>
  <c r="H28" i="5"/>
  <c r="T18" i="5"/>
  <c r="Y18" i="5"/>
  <c r="AA62" i="5"/>
  <c r="V61" i="5"/>
  <c r="E61" i="5"/>
  <c r="W61" i="5"/>
  <c r="Q61" i="5"/>
  <c r="AA72" i="5"/>
  <c r="W71" i="5"/>
  <c r="V71" i="5"/>
  <c r="E71" i="5"/>
  <c r="Q71" i="5"/>
  <c r="E60" i="5"/>
  <c r="V60" i="5"/>
  <c r="AA61" i="5"/>
  <c r="W60" i="5"/>
  <c r="Q60" i="5"/>
  <c r="W59" i="5"/>
  <c r="V59" i="5"/>
  <c r="AA60" i="5"/>
  <c r="E59" i="5"/>
  <c r="Q59" i="5"/>
  <c r="AA67" i="5"/>
  <c r="E66" i="5"/>
  <c r="W66" i="5"/>
  <c r="V66" i="5"/>
  <c r="Q66" i="5"/>
  <c r="AA59" i="5"/>
  <c r="W58" i="5"/>
  <c r="V58" i="5"/>
  <c r="E58" i="5"/>
  <c r="Q58" i="5"/>
  <c r="V57" i="5"/>
  <c r="W57" i="5"/>
  <c r="E57" i="5"/>
  <c r="AA58" i="5"/>
  <c r="Q57" i="5"/>
  <c r="S57" i="5"/>
  <c r="AA57" i="5"/>
  <c r="AA66" i="5"/>
  <c r="V65" i="5"/>
  <c r="E65" i="5"/>
  <c r="W65" i="5"/>
  <c r="Q65" i="5"/>
  <c r="AA68" i="5"/>
  <c r="V67" i="5"/>
  <c r="W67" i="5"/>
  <c r="E67" i="5"/>
  <c r="Q67" i="5"/>
  <c r="AA64" i="5"/>
  <c r="V63" i="5"/>
  <c r="W63" i="5"/>
  <c r="E63" i="5"/>
  <c r="Q63" i="5"/>
  <c r="E72" i="5"/>
  <c r="W72" i="5"/>
  <c r="AA73" i="5"/>
  <c r="V72" i="5"/>
  <c r="Q72" i="5"/>
  <c r="E62" i="5"/>
  <c r="V62" i="5"/>
  <c r="W62" i="5"/>
  <c r="AA63" i="5"/>
  <c r="Q62" i="5"/>
  <c r="W69" i="5"/>
  <c r="V69" i="5"/>
  <c r="E69" i="5"/>
  <c r="AA70" i="5"/>
  <c r="Q69" i="5"/>
  <c r="E70" i="5"/>
  <c r="W70" i="5"/>
  <c r="V70" i="5"/>
  <c r="AA71" i="5"/>
  <c r="Q70" i="5"/>
  <c r="V64" i="5"/>
  <c r="AA65" i="5"/>
  <c r="W64" i="5"/>
  <c r="E64" i="5"/>
  <c r="Q64" i="5"/>
  <c r="E68" i="5"/>
  <c r="V68" i="5"/>
  <c r="AA69" i="5"/>
  <c r="W68" i="5"/>
  <c r="Q68" i="5"/>
  <c r="S58" i="5"/>
  <c r="X58" i="5"/>
  <c r="S68" i="5"/>
  <c r="U68" i="5"/>
  <c r="Z68" i="5"/>
  <c r="S29" i="5"/>
  <c r="X29" i="5"/>
  <c r="G18" i="5"/>
  <c r="I18" i="5"/>
  <c r="G21" i="5"/>
  <c r="G24" i="5"/>
  <c r="H24" i="5"/>
  <c r="X28" i="5"/>
  <c r="I28" i="5"/>
  <c r="T28" i="5"/>
  <c r="Y28" i="5"/>
  <c r="G20" i="5"/>
  <c r="X17" i="5"/>
  <c r="H23" i="5"/>
  <c r="U17" i="5"/>
  <c r="Z17" i="5"/>
  <c r="G17" i="5"/>
  <c r="X15" i="5"/>
  <c r="I15" i="5"/>
  <c r="G23" i="5"/>
  <c r="U19" i="5"/>
  <c r="Z19" i="5"/>
  <c r="H17" i="5"/>
  <c r="G16" i="5"/>
  <c r="S16" i="5"/>
  <c r="T16" i="5"/>
  <c r="Y16" i="5"/>
  <c r="U15" i="5"/>
  <c r="Z15" i="5"/>
  <c r="G27" i="5"/>
  <c r="H20" i="5"/>
  <c r="U24" i="5"/>
  <c r="Z24" i="5"/>
  <c r="X24" i="5"/>
  <c r="S25" i="5"/>
  <c r="U25" i="5"/>
  <c r="Z25" i="5"/>
  <c r="H22" i="5"/>
  <c r="S20" i="5"/>
  <c r="T19" i="5"/>
  <c r="Y19" i="5"/>
  <c r="H25" i="5"/>
  <c r="G25" i="5"/>
  <c r="G22" i="5"/>
  <c r="S30" i="5"/>
  <c r="S31" i="5"/>
  <c r="H30" i="5"/>
  <c r="G30" i="5"/>
  <c r="H31" i="5"/>
  <c r="G31" i="5"/>
  <c r="S23" i="5"/>
  <c r="S22" i="5"/>
  <c r="G29" i="5"/>
  <c r="H29" i="5"/>
  <c r="S26" i="5"/>
  <c r="S27" i="5"/>
  <c r="G19" i="5"/>
  <c r="I19" i="5"/>
  <c r="H19" i="5"/>
  <c r="G26" i="5"/>
  <c r="H26" i="5"/>
  <c r="U21" i="5"/>
  <c r="Z21" i="5"/>
  <c r="X21" i="5"/>
  <c r="I21" i="5"/>
  <c r="S64" i="5"/>
  <c r="U64" i="5"/>
  <c r="Z64" i="5"/>
  <c r="S71" i="5"/>
  <c r="X71" i="5"/>
  <c r="S62" i="5"/>
  <c r="U62" i="5"/>
  <c r="Z62" i="5"/>
  <c r="S69" i="5"/>
  <c r="T69" i="5"/>
  <c r="Y69" i="5"/>
  <c r="S67" i="5"/>
  <c r="X67" i="5"/>
  <c r="S65" i="5"/>
  <c r="T65" i="5"/>
  <c r="Y65" i="5"/>
  <c r="S59" i="5"/>
  <c r="H69" i="5"/>
  <c r="G69" i="5"/>
  <c r="H71" i="5"/>
  <c r="G71" i="5"/>
  <c r="H64" i="5"/>
  <c r="G64" i="5"/>
  <c r="H70" i="5"/>
  <c r="G70" i="5"/>
  <c r="H63" i="5"/>
  <c r="G63" i="5"/>
  <c r="U57" i="5"/>
  <c r="Z57" i="5"/>
  <c r="X57" i="5"/>
  <c r="T57" i="5"/>
  <c r="Y57" i="5"/>
  <c r="S60" i="5"/>
  <c r="H59" i="5"/>
  <c r="G59" i="5"/>
  <c r="H58" i="5"/>
  <c r="G58" i="5"/>
  <c r="H62" i="5"/>
  <c r="G62" i="5"/>
  <c r="T68" i="5"/>
  <c r="Y68" i="5"/>
  <c r="H67" i="5"/>
  <c r="G67" i="5"/>
  <c r="S61" i="5"/>
  <c r="H65" i="5"/>
  <c r="G65" i="5"/>
  <c r="S72" i="5"/>
  <c r="S73" i="5"/>
  <c r="H57" i="5"/>
  <c r="G57" i="5"/>
  <c r="S66" i="5"/>
  <c r="S70" i="5"/>
  <c r="H68" i="5"/>
  <c r="G68" i="5"/>
  <c r="H72" i="5"/>
  <c r="G73" i="5"/>
  <c r="G72" i="5"/>
  <c r="H73" i="5"/>
  <c r="H61" i="5"/>
  <c r="G61" i="5"/>
  <c r="H66" i="5"/>
  <c r="G66" i="5"/>
  <c r="S63" i="5"/>
  <c r="H60" i="5"/>
  <c r="G60" i="5"/>
  <c r="I17" i="5"/>
  <c r="X68" i="5"/>
  <c r="U69" i="5"/>
  <c r="Z69" i="5"/>
  <c r="T64" i="5"/>
  <c r="Y64" i="5"/>
  <c r="X64" i="5"/>
  <c r="I64" i="5"/>
  <c r="U71" i="5"/>
  <c r="Z71" i="5"/>
  <c r="U58" i="5"/>
  <c r="Z58" i="5"/>
  <c r="T58" i="5"/>
  <c r="Y58" i="5"/>
  <c r="T71" i="5"/>
  <c r="Y71" i="5"/>
  <c r="T29" i="5"/>
  <c r="Y29" i="5"/>
  <c r="U29" i="5"/>
  <c r="Z29" i="5"/>
  <c r="I24" i="5"/>
  <c r="U16" i="5"/>
  <c r="Z16" i="5"/>
  <c r="X16" i="5"/>
  <c r="I16" i="5"/>
  <c r="I29" i="5"/>
  <c r="X25" i="5"/>
  <c r="I25" i="5"/>
  <c r="T25" i="5"/>
  <c r="Y25" i="5"/>
  <c r="T31" i="5"/>
  <c r="Y31" i="5"/>
  <c r="U31" i="5"/>
  <c r="Z31" i="5"/>
  <c r="X31" i="5"/>
  <c r="I31" i="5"/>
  <c r="T27" i="5"/>
  <c r="Y27" i="5"/>
  <c r="U27" i="5"/>
  <c r="Z27" i="5"/>
  <c r="X27" i="5"/>
  <c r="I27" i="5"/>
  <c r="X26" i="5"/>
  <c r="I26" i="5"/>
  <c r="T26" i="5"/>
  <c r="Y26" i="5"/>
  <c r="U26" i="5"/>
  <c r="Z26" i="5"/>
  <c r="X23" i="5"/>
  <c r="I23" i="5"/>
  <c r="T23" i="5"/>
  <c r="Y23" i="5"/>
  <c r="U23" i="5"/>
  <c r="Z23" i="5"/>
  <c r="T20" i="5"/>
  <c r="Y20" i="5"/>
  <c r="X20" i="5"/>
  <c r="I20" i="5"/>
  <c r="U20" i="5"/>
  <c r="Z20" i="5"/>
  <c r="X30" i="5"/>
  <c r="I30" i="5"/>
  <c r="U30" i="5"/>
  <c r="Z30" i="5"/>
  <c r="T30" i="5"/>
  <c r="Y30" i="5"/>
  <c r="U22" i="5"/>
  <c r="Z22" i="5"/>
  <c r="T22" i="5"/>
  <c r="Y22" i="5"/>
  <c r="X22" i="5"/>
  <c r="I22" i="5"/>
  <c r="X69" i="5"/>
  <c r="I69" i="5"/>
  <c r="T62" i="5"/>
  <c r="Y62" i="5"/>
  <c r="X62" i="5"/>
  <c r="I71" i="5"/>
  <c r="I62" i="5"/>
  <c r="I58" i="5"/>
  <c r="X65" i="5"/>
  <c r="I65" i="5"/>
  <c r="U65" i="5"/>
  <c r="Z65" i="5"/>
  <c r="U67" i="5"/>
  <c r="Z67" i="5"/>
  <c r="T67" i="5"/>
  <c r="Y67" i="5"/>
  <c r="U70" i="5"/>
  <c r="Z70" i="5"/>
  <c r="T70" i="5"/>
  <c r="Y70" i="5"/>
  <c r="X70" i="5"/>
  <c r="I70" i="5"/>
  <c r="X59" i="5"/>
  <c r="I59" i="5"/>
  <c r="U59" i="5"/>
  <c r="Z59" i="5"/>
  <c r="T59" i="5"/>
  <c r="Y59" i="5"/>
  <c r="I68" i="5"/>
  <c r="T66" i="5"/>
  <c r="Y66" i="5"/>
  <c r="X66" i="5"/>
  <c r="I66" i="5"/>
  <c r="U66" i="5"/>
  <c r="Z66" i="5"/>
  <c r="X60" i="5"/>
  <c r="I60" i="5"/>
  <c r="U60" i="5"/>
  <c r="Z60" i="5"/>
  <c r="T60" i="5"/>
  <c r="Y60" i="5"/>
  <c r="U63" i="5"/>
  <c r="Z63" i="5"/>
  <c r="T63" i="5"/>
  <c r="Y63" i="5"/>
  <c r="X63" i="5"/>
  <c r="I63" i="5"/>
  <c r="X73" i="5"/>
  <c r="I73" i="5"/>
  <c r="U73" i="5"/>
  <c r="Z73" i="5"/>
  <c r="T73" i="5"/>
  <c r="Y73" i="5"/>
  <c r="U61" i="5"/>
  <c r="Z61" i="5"/>
  <c r="X61" i="5"/>
  <c r="I61" i="5"/>
  <c r="T61" i="5"/>
  <c r="Y61" i="5"/>
  <c r="I57" i="5"/>
  <c r="T72" i="5"/>
  <c r="Y72" i="5"/>
  <c r="X72" i="5"/>
  <c r="I72" i="5"/>
  <c r="U72" i="5"/>
  <c r="Z72" i="5"/>
  <c r="I67" i="5"/>
  <c r="F53" i="10"/>
  <c r="H53" i="10"/>
  <c r="F43" i="10"/>
  <c r="H43" i="10"/>
  <c r="F35" i="10"/>
  <c r="H35" i="10"/>
</calcChain>
</file>

<file path=xl/sharedStrings.xml><?xml version="1.0" encoding="utf-8"?>
<sst xmlns="http://schemas.openxmlformats.org/spreadsheetml/2006/main" count="466" uniqueCount="128">
  <si>
    <t>DICOM 3.14 standard:</t>
  </si>
  <si>
    <t>Luminance</t>
  </si>
  <si>
    <t>JND</t>
  </si>
  <si>
    <t>dL/L</t>
  </si>
  <si>
    <t>p-value</t>
  </si>
  <si>
    <t>L</t>
  </si>
  <si>
    <t>j(L)</t>
  </si>
  <si>
    <t>+10%</t>
  </si>
  <si>
    <t>-10%</t>
  </si>
  <si>
    <t>a:</t>
  </si>
  <si>
    <t>b:</t>
  </si>
  <si>
    <t>dL/L for JND</t>
  </si>
  <si>
    <t>TG18</t>
  </si>
  <si>
    <t>linear relation between p-value and JND:</t>
  </si>
  <si>
    <t>average</t>
  </si>
  <si>
    <t>TG18-QC</t>
  </si>
  <si>
    <t>Luminance Response</t>
  </si>
  <si>
    <t>test pattern</t>
  </si>
  <si>
    <t>Bit depth</t>
  </si>
  <si>
    <t>DICOM (%)</t>
  </si>
  <si>
    <t>Lmin</t>
  </si>
  <si>
    <t>Lmax</t>
  </si>
  <si>
    <t>Left Monitor</t>
  </si>
  <si>
    <t>Right Monitor</t>
  </si>
  <si>
    <t>Luminance ratio</t>
  </si>
  <si>
    <t>RHS</t>
  </si>
  <si>
    <t>TG18-LN</t>
  </si>
  <si>
    <t>Ambient Luminance (cd/m²)</t>
  </si>
  <si>
    <t>diff from</t>
  </si>
  <si>
    <t>Hospital:</t>
  </si>
  <si>
    <t>Model:</t>
  </si>
  <si>
    <t>Department / Room:</t>
  </si>
  <si>
    <t>System no.:</t>
  </si>
  <si>
    <t>Installation Date:</t>
  </si>
  <si>
    <t>Software version:</t>
  </si>
  <si>
    <t>Date of visit:</t>
  </si>
  <si>
    <t>Manufacturer:</t>
  </si>
  <si>
    <t>Date of report:</t>
  </si>
  <si>
    <t>Serial number:</t>
  </si>
  <si>
    <t>Survey &amp; Report by:</t>
  </si>
  <si>
    <t>SUMMARY OF TESTS &amp; RESULTS</t>
  </si>
  <si>
    <t>Expected values</t>
  </si>
  <si>
    <t>Results</t>
  </si>
  <si>
    <t>Pass/Fail</t>
  </si>
  <si>
    <t>Comments</t>
  </si>
  <si>
    <t>Ambient Light</t>
  </si>
  <si>
    <t>DICOM GSDF calibration</t>
  </si>
  <si>
    <t>Artefacts</t>
  </si>
  <si>
    <t>Non-uniformity</t>
  </si>
  <si>
    <t>1. Monitors</t>
  </si>
  <si>
    <t>Illuminance (lux)</t>
  </si>
  <si>
    <t>Luminance non-uniformity</t>
  </si>
  <si>
    <t>Left monitor</t>
  </si>
  <si>
    <t>Position</t>
  </si>
  <si>
    <t>Centre</t>
  </si>
  <si>
    <t>Top R</t>
  </si>
  <si>
    <t>Top L</t>
  </si>
  <si>
    <t>Bottom R</t>
  </si>
  <si>
    <t>Bottom L</t>
  </si>
  <si>
    <t>Luminance (cd/m²)</t>
  </si>
  <si>
    <t>Non-uniformity (%)</t>
  </si>
  <si>
    <t>max non-uniformity (%)</t>
  </si>
  <si>
    <t>Right monitor</t>
  </si>
  <si>
    <t>dead pixels</t>
  </si>
  <si>
    <t>flicker</t>
  </si>
  <si>
    <t>none present</t>
  </si>
  <si>
    <t>&lt;10</t>
  </si>
  <si>
    <t>&gt;250</t>
  </si>
  <si>
    <r>
      <t>L</t>
    </r>
    <r>
      <rPr>
        <sz val="6"/>
        <rFont val="Arial"/>
        <family val="2"/>
      </rPr>
      <t>max</t>
    </r>
    <r>
      <rPr>
        <sz val="9"/>
        <rFont val="Arial"/>
        <family val="2"/>
      </rPr>
      <t xml:space="preserve"> difference</t>
    </r>
  </si>
  <si>
    <r>
      <t>Ambient Luminance L</t>
    </r>
    <r>
      <rPr>
        <b/>
        <sz val="6"/>
        <rFont val="Arial"/>
        <family val="2"/>
      </rPr>
      <t xml:space="preserve">amb </t>
    </r>
    <r>
      <rPr>
        <b/>
        <sz val="9"/>
        <rFont val="Arial"/>
        <family val="2"/>
      </rPr>
      <t>(cd/m²)</t>
    </r>
  </si>
  <si>
    <r>
      <t>L</t>
    </r>
    <r>
      <rPr>
        <sz val="6"/>
        <rFont val="Arial"/>
        <family val="2"/>
      </rPr>
      <t>amb</t>
    </r>
    <r>
      <rPr>
        <sz val="9"/>
        <rFont val="Arial"/>
        <family val="2"/>
      </rPr>
      <t xml:space="preserve"> </t>
    </r>
  </si>
  <si>
    <t>UN10</t>
  </si>
  <si>
    <t>Test Pattern TG18-UN80</t>
  </si>
  <si>
    <t>Test Pattern TG18-UN10</t>
  </si>
  <si>
    <t>UN80</t>
  </si>
  <si>
    <t>&gt;30</t>
  </si>
  <si>
    <t>COMMENTS</t>
  </si>
  <si>
    <t>CONCLUSIONS</t>
  </si>
  <si>
    <t>&lt;2</t>
  </si>
  <si>
    <t>Effective Luminance ratio</t>
  </si>
  <si>
    <t>Eff. Luminance ratio</t>
  </si>
  <si>
    <t xml:space="preserve">Eff Lum/Lum = </t>
  </si>
  <si>
    <t>Eff Luminance/Luminance</t>
  </si>
  <si>
    <t>&gt;0.6</t>
  </si>
  <si>
    <r>
      <t>Luminance (cd/m</t>
    </r>
    <r>
      <rPr>
        <b/>
        <vertAlign val="superscript"/>
        <sz val="9"/>
        <rFont val="Arial"/>
        <family val="2"/>
      </rPr>
      <t>2</t>
    </r>
    <r>
      <rPr>
        <b/>
        <sz val="9"/>
        <rFont val="Arial"/>
        <family val="2"/>
      </rPr>
      <t>)</t>
    </r>
  </si>
  <si>
    <t>Excl amb</t>
  </si>
  <si>
    <t>Incl amb</t>
  </si>
  <si>
    <t>Minimum Luminance</t>
  </si>
  <si>
    <t>Maximum Luminance</t>
  </si>
  <si>
    <t>LHS</t>
  </si>
  <si>
    <t>Uni LHS</t>
  </si>
  <si>
    <t>Uni RHS 10?80</t>
  </si>
  <si>
    <t>P</t>
  </si>
  <si>
    <t>O</t>
  </si>
  <si>
    <t>cd/m²</t>
  </si>
  <si>
    <t>Units:lux &amp; cd/m²</t>
  </si>
  <si>
    <t>lx</t>
  </si>
  <si>
    <t>Reporting rm</t>
  </si>
  <si>
    <t>Calibration</t>
  </si>
  <si>
    <t>Use external sensor (Eizo sensor)</t>
  </si>
  <si>
    <t>target luminance:</t>
  </si>
  <si>
    <t xml:space="preserve"> - Lmax (cd/m2)</t>
  </si>
  <si>
    <t xml:space="preserve"> - Lmin (cd/m2)</t>
  </si>
  <si>
    <t>Apply ambient light:</t>
  </si>
  <si>
    <t xml:space="preserve"> - Ambient light (lux)</t>
  </si>
  <si>
    <t xml:space="preserve">Scheduled tests: </t>
  </si>
  <si>
    <t xml:space="preserve"> - consistency tests</t>
  </si>
  <si>
    <t>monthly</t>
  </si>
  <si>
    <t xml:space="preserve"> - calibration </t>
  </si>
  <si>
    <t>annually</t>
  </si>
  <si>
    <t>The monitors are suitable for clinical use.</t>
  </si>
  <si>
    <t xml:space="preserve">Last calibration </t>
  </si>
  <si>
    <t>25-75</t>
  </si>
  <si>
    <t>AAPM TG270 jan-19, table X</t>
  </si>
  <si>
    <t xml:space="preserve">Note: Tolerances have been updated to adhere to AAPM TG270 report (Jan 2019), a summary of which is found in table X (below).
In particular, ambient light (Lamb) is now required to be below the minimum value between the RHS and LHS monitors of 0.25 x minimum luminance (Lmin, with no correction for ambient light). 
</t>
  </si>
  <si>
    <t>TG270 Report:</t>
  </si>
  <si>
    <t>&gt;450</t>
  </si>
  <si>
    <t>DICOM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</si>
  <si>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</si>
  <si>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247741 / 219348</t>
  </si>
  <si>
    <t>13/07/2022</t>
  </si>
  <si>
    <t>LHS TG-18</t>
  </si>
  <si>
    <t>All results are within expected tolerances.</t>
  </si>
  <si>
    <t>The majority of the results are within expected tolerances.</t>
  </si>
  <si>
    <t>Reporting Monitor X</t>
  </si>
  <si>
    <t>VXXX</t>
  </si>
  <si>
    <t>Manufacturer</t>
  </si>
  <si>
    <t>Model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</si>
</sst>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00"/>
    <numFmt numFmtId="165" formatCode="0.0"/>
    <numFmt numFmtId="205" formatCode="0.0%"/>
    <numFmt numFmtId="209" formatCode="dd/mm/yy"/>
    <numFmt numFmtId="213" formatCode="0.00\ &quot;cd/m²&quot;"/>
    <numFmt numFmtId="215" formatCode="0\ &quot;cd/m²&quot;"/>
    <numFmt numFmtId="216" formatCode="0.0\ &quot;lux&quot;"/>
  </numFmts>
  <fonts count="27">
    <font>
      <sz val="10"/>
      <name val="Arial"/>
    </font>
    <font>
      <sz val="10"/>
      <name val="Arial"/>
    </font>
    <font>
      <b/>
      <u/>
      <sz val="9"/>
      <name val="Arial"/>
      <family val="2"/>
    </font>
    <font>
      <b/>
      <sz val="9"/>
      <color indexed="8"/>
      <name val="Arial"/>
      <family val="2"/>
    </font>
    <font>
      <sz val="9"/>
      <color indexed="8"/>
      <name val="Albany"/>
      <family val="2"/>
    </font>
    <font>
      <b/>
      <sz val="9"/>
      <name val="Arial"/>
      <family val="2"/>
    </font>
    <font>
      <sz val="9"/>
      <color indexed="8"/>
      <name val="Arial"/>
      <family val="2"/>
    </font>
    <font>
      <sz val="9"/>
      <name val="Arial"/>
      <family val="2"/>
    </font>
    <font>
      <sz val="8"/>
      <name val="Arial"/>
      <family val="2"/>
    </font>
    <font>
      <sz val="8"/>
      <name val="Arial"/>
      <family val="2"/>
    </font>
    <font>
      <sz val="10"/>
      <name val="Arial"/>
      <family val="2"/>
    </font>
    <font>
      <sz val="12"/>
      <name val="CG Omega"/>
      <family val="2"/>
    </font>
    <font>
      <sz val="11"/>
      <name val="Arial"/>
      <family val="2"/>
    </font>
    <font>
      <sz val="9"/>
      <name val="CG Omega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6"/>
      <name val="Arial"/>
      <family val="2"/>
    </font>
    <font>
      <b/>
      <sz val="6"/>
      <name val="Arial"/>
      <family val="2"/>
    </font>
    <font>
      <b/>
      <vertAlign val="superscript"/>
      <sz val="9"/>
      <name val="Arial"/>
      <family val="2"/>
    </font>
    <font>
      <u/>
      <sz val="10"/>
      <color indexed="12"/>
      <name val="Arial"/>
      <family val="2"/>
    </font>
    <font>
      <b/>
      <sz val="11"/>
      <name val="Wingdings 2"/>
      <family val="1"/>
      <charset val="2"/>
    </font>
    <font>
      <b/>
      <sz val="11"/>
      <color indexed="8"/>
      <name val="Wingdings 2"/>
      <family val="1"/>
      <charset val="2"/>
    </font>
    <font>
      <i/>
      <sz val="9"/>
      <name val="Arial"/>
      <family val="2"/>
    </font>
    <font>
      <b/>
      <sz val="10"/>
      <name val="Wingdings 2"/>
      <family val="1"/>
      <charset val="2"/>
    </font>
    <font>
      <b/>
      <sz val="11"/>
      <color theme="1"/>
      <name val="Calibri"/>
      <family val="2"/>
      <scheme val="minor"/>
    </font>
    <font>
      <sz val="11"/>
      <color theme="1"/>
      <name val="Wingdings 2"/>
      <family val="1"/>
      <charset val="2"/>
    </font>
    <font>
      <i/>
      <sz val="9"/>
      <color rgb="FFFF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9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8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263">
    <xf numFmtId="0" fontId="0" fillId="0" borderId="0" xfId="0"/>
    <xf numFmtId="0" fontId="4" fillId="0" borderId="0" xfId="0" applyFont="1" applyFill="1" applyAlignment="1">
      <alignment horizontal="center"/>
    </xf>
    <xf numFmtId="0" fontId="2" fillId="0" borderId="0" xfId="0" applyFont="1" applyFill="1"/>
    <xf numFmtId="0" fontId="5" fillId="0" borderId="0" xfId="0" applyFont="1" applyFill="1"/>
    <xf numFmtId="0" fontId="3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7" fillId="0" borderId="0" xfId="0" applyFont="1" applyFill="1"/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  <xf numFmtId="0" fontId="7" fillId="0" borderId="0" xfId="0" quotePrefix="1" applyFont="1" applyFill="1" applyAlignment="1">
      <alignment horizontal="center"/>
    </xf>
    <xf numFmtId="164" fontId="7" fillId="0" borderId="0" xfId="0" applyNumberFormat="1" applyFont="1" applyFill="1"/>
    <xf numFmtId="0" fontId="7" fillId="0" borderId="0" xfId="0" applyNumberFormat="1" applyFont="1" applyFill="1"/>
    <xf numFmtId="0" fontId="7" fillId="0" borderId="0" xfId="0" applyFont="1" applyFill="1" applyAlignment="1">
      <alignment horizontal="right"/>
    </xf>
    <xf numFmtId="164" fontId="7" fillId="0" borderId="0" xfId="0" applyNumberFormat="1" applyFont="1" applyFill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left"/>
    </xf>
    <xf numFmtId="0" fontId="5" fillId="0" borderId="3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7" fillId="0" borderId="5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165" fontId="5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Alignment="1">
      <alignment horizontal="center"/>
    </xf>
    <xf numFmtId="0" fontId="7" fillId="0" borderId="0" xfId="0" applyNumberFormat="1" applyFont="1" applyFill="1" applyBorder="1" applyAlignment="1">
      <alignment horizontal="center"/>
    </xf>
    <xf numFmtId="2" fontId="7" fillId="0" borderId="0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left"/>
    </xf>
    <xf numFmtId="0" fontId="5" fillId="0" borderId="0" xfId="0" applyFont="1" applyFill="1" applyBorder="1" applyAlignment="1">
      <alignment horizontal="left"/>
    </xf>
    <xf numFmtId="164" fontId="7" fillId="0" borderId="0" xfId="0" applyNumberFormat="1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9" xfId="0" applyFont="1" applyFill="1" applyBorder="1" applyAlignment="1">
      <alignment horizontal="center"/>
    </xf>
    <xf numFmtId="0" fontId="5" fillId="0" borderId="9" xfId="0" applyFont="1" applyFill="1" applyBorder="1"/>
    <xf numFmtId="0" fontId="5" fillId="0" borderId="9" xfId="0" quotePrefix="1" applyFont="1" applyFill="1" applyBorder="1" applyAlignment="1">
      <alignment horizontal="center"/>
    </xf>
    <xf numFmtId="0" fontId="5" fillId="0" borderId="10" xfId="0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11" xfId="0" quotePrefix="1" applyFont="1" applyFill="1" applyBorder="1" applyAlignment="1">
      <alignment horizontal="center"/>
    </xf>
    <xf numFmtId="0" fontId="5" fillId="0" borderId="10" xfId="0" quotePrefix="1" applyFont="1" applyFill="1" applyBorder="1" applyAlignment="1">
      <alignment horizontal="center"/>
    </xf>
    <xf numFmtId="9" fontId="5" fillId="0" borderId="10" xfId="0" applyNumberFormat="1" applyFont="1" applyFill="1" applyBorder="1" applyAlignment="1">
      <alignment horizontal="center"/>
    </xf>
    <xf numFmtId="0" fontId="7" fillId="0" borderId="12" xfId="0" applyFont="1" applyFill="1" applyBorder="1" applyAlignment="1">
      <alignment horizontal="center" vertical="top" wrapText="1"/>
    </xf>
    <xf numFmtId="0" fontId="5" fillId="0" borderId="12" xfId="0" applyFont="1" applyFill="1" applyBorder="1" applyAlignment="1">
      <alignment horizontal="center"/>
    </xf>
    <xf numFmtId="164" fontId="7" fillId="0" borderId="13" xfId="0" applyNumberFormat="1" applyFont="1" applyFill="1" applyBorder="1" applyAlignment="1">
      <alignment horizontal="center"/>
    </xf>
    <xf numFmtId="165" fontId="5" fillId="0" borderId="13" xfId="0" applyNumberFormat="1" applyFont="1" applyFill="1" applyBorder="1" applyAlignment="1">
      <alignment horizontal="center"/>
    </xf>
    <xf numFmtId="164" fontId="7" fillId="0" borderId="14" xfId="0" applyNumberFormat="1" applyFont="1" applyFill="1" applyBorder="1" applyAlignment="1">
      <alignment horizontal="center"/>
    </xf>
    <xf numFmtId="165" fontId="5" fillId="0" borderId="14" xfId="0" applyNumberFormat="1" applyFont="1" applyFill="1" applyBorder="1" applyAlignment="1">
      <alignment horizontal="center"/>
    </xf>
    <xf numFmtId="0" fontId="7" fillId="0" borderId="15" xfId="0" applyFont="1" applyFill="1" applyBorder="1" applyAlignment="1">
      <alignment horizontal="center"/>
    </xf>
    <xf numFmtId="0" fontId="7" fillId="0" borderId="16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center"/>
    </xf>
    <xf numFmtId="0" fontId="7" fillId="0" borderId="18" xfId="0" applyFont="1" applyFill="1" applyBorder="1" applyAlignment="1">
      <alignment horizontal="center"/>
    </xf>
    <xf numFmtId="0" fontId="5" fillId="0" borderId="1" xfId="0" applyFont="1" applyFill="1" applyBorder="1"/>
    <xf numFmtId="0" fontId="7" fillId="0" borderId="19" xfId="0" applyFont="1" applyFill="1" applyBorder="1" applyAlignment="1">
      <alignment horizontal="center"/>
    </xf>
    <xf numFmtId="0" fontId="7" fillId="0" borderId="20" xfId="0" applyFont="1" applyFill="1" applyBorder="1"/>
    <xf numFmtId="0" fontId="5" fillId="0" borderId="20" xfId="0" applyFont="1" applyFill="1" applyBorder="1" applyAlignment="1">
      <alignment horizontal="center"/>
    </xf>
    <xf numFmtId="164" fontId="7" fillId="0" borderId="20" xfId="0" applyNumberFormat="1" applyFont="1" applyFill="1" applyBorder="1" applyAlignment="1">
      <alignment horizontal="center"/>
    </xf>
    <xf numFmtId="165" fontId="5" fillId="0" borderId="20" xfId="0" applyNumberFormat="1" applyFont="1" applyFill="1" applyBorder="1" applyAlignment="1">
      <alignment horizontal="center"/>
    </xf>
    <xf numFmtId="164" fontId="7" fillId="0" borderId="1" xfId="0" applyNumberFormat="1" applyFont="1" applyFill="1" applyBorder="1" applyAlignment="1">
      <alignment horizontal="center"/>
    </xf>
    <xf numFmtId="165" fontId="5" fillId="0" borderId="1" xfId="0" applyNumberFormat="1" applyFont="1" applyFill="1" applyBorder="1" applyAlignment="1">
      <alignment horizontal="center"/>
    </xf>
    <xf numFmtId="2" fontId="7" fillId="0" borderId="19" xfId="0" applyNumberFormat="1" applyFont="1" applyFill="1" applyBorder="1" applyAlignment="1">
      <alignment horizontal="center"/>
    </xf>
    <xf numFmtId="2" fontId="7" fillId="0" borderId="11" xfId="0" applyNumberFormat="1" applyFont="1" applyFill="1" applyBorder="1" applyAlignment="1">
      <alignment horizontal="center"/>
    </xf>
    <xf numFmtId="2" fontId="7" fillId="0" borderId="21" xfId="0" applyNumberFormat="1" applyFont="1" applyFill="1" applyBorder="1" applyAlignment="1">
      <alignment horizontal="center"/>
    </xf>
    <xf numFmtId="0" fontId="7" fillId="0" borderId="22" xfId="0" applyFont="1" applyFill="1" applyBorder="1" applyAlignment="1">
      <alignment horizontal="center"/>
    </xf>
    <xf numFmtId="0" fontId="7" fillId="0" borderId="10" xfId="0" applyFont="1" applyFill="1" applyBorder="1" applyAlignment="1">
      <alignment horizontal="center"/>
    </xf>
    <xf numFmtId="0" fontId="5" fillId="2" borderId="5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2" fontId="7" fillId="0" borderId="20" xfId="0" applyNumberFormat="1" applyFont="1" applyFill="1" applyBorder="1" applyAlignment="1">
      <alignment horizontal="center"/>
    </xf>
    <xf numFmtId="2" fontId="7" fillId="0" borderId="1" xfId="0" applyNumberFormat="1" applyFont="1" applyFill="1" applyBorder="1" applyAlignment="1">
      <alignment horizontal="center"/>
    </xf>
    <xf numFmtId="2" fontId="7" fillId="0" borderId="12" xfId="0" applyNumberFormat="1" applyFont="1" applyFill="1" applyBorder="1" applyAlignment="1">
      <alignment horizontal="center"/>
    </xf>
    <xf numFmtId="2" fontId="7" fillId="0" borderId="13" xfId="0" applyNumberFormat="1" applyFont="1" applyFill="1" applyBorder="1" applyAlignment="1">
      <alignment horizontal="center"/>
    </xf>
    <xf numFmtId="2" fontId="7" fillId="0" borderId="14" xfId="0" applyNumberFormat="1" applyFont="1" applyFill="1" applyBorder="1" applyAlignment="1">
      <alignment horizontal="center"/>
    </xf>
    <xf numFmtId="0" fontId="7" fillId="0" borderId="9" xfId="0" applyFont="1" applyFill="1" applyBorder="1"/>
    <xf numFmtId="0" fontId="7" fillId="0" borderId="3" xfId="0" applyFont="1" applyFill="1" applyBorder="1"/>
    <xf numFmtId="0" fontId="5" fillId="0" borderId="10" xfId="0" applyFont="1" applyFill="1" applyBorder="1" applyAlignment="1">
      <alignment horizontal="right"/>
    </xf>
    <xf numFmtId="0" fontId="5" fillId="0" borderId="9" xfId="0" applyFont="1" applyFill="1" applyBorder="1" applyAlignment="1">
      <alignment horizontal="right"/>
    </xf>
    <xf numFmtId="1" fontId="7" fillId="0" borderId="1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3" xfId="0" applyFont="1" applyFill="1" applyBorder="1"/>
    <xf numFmtId="0" fontId="5" fillId="0" borderId="3" xfId="0" applyFont="1" applyFill="1" applyBorder="1" applyAlignment="1">
      <alignment horizontal="left"/>
    </xf>
    <xf numFmtId="165" fontId="7" fillId="0" borderId="3" xfId="0" applyNumberFormat="1" applyFont="1" applyFill="1" applyBorder="1" applyAlignment="1">
      <alignment horizontal="center"/>
    </xf>
    <xf numFmtId="0" fontId="10" fillId="0" borderId="0" xfId="0" applyFont="1"/>
    <xf numFmtId="0" fontId="11" fillId="0" borderId="0" xfId="0" applyFont="1" applyAlignment="1">
      <alignment horizontal="right"/>
    </xf>
    <xf numFmtId="0" fontId="8" fillId="0" borderId="0" xfId="0" applyFont="1"/>
    <xf numFmtId="0" fontId="12" fillId="0" borderId="0" xfId="0" applyFont="1"/>
    <xf numFmtId="0" fontId="13" fillId="0" borderId="0" xfId="0" applyFont="1" applyAlignment="1">
      <alignment horizontal="right"/>
    </xf>
    <xf numFmtId="0" fontId="14" fillId="0" borderId="0" xfId="0" applyFont="1" applyFill="1" applyAlignment="1">
      <alignment horizontal="right"/>
    </xf>
    <xf numFmtId="0" fontId="7" fillId="0" borderId="0" xfId="0" applyFont="1"/>
    <xf numFmtId="0" fontId="7" fillId="0" borderId="23" xfId="0" applyFont="1" applyBorder="1"/>
    <xf numFmtId="0" fontId="5" fillId="2" borderId="24" xfId="0" applyFont="1" applyFill="1" applyBorder="1" applyAlignment="1">
      <alignment vertical="center"/>
    </xf>
    <xf numFmtId="0" fontId="7" fillId="2" borderId="25" xfId="0" applyFont="1" applyFill="1" applyBorder="1" applyAlignment="1">
      <alignment vertical="center"/>
    </xf>
    <xf numFmtId="0" fontId="7" fillId="0" borderId="25" xfId="0" applyFont="1" applyBorder="1" applyAlignment="1">
      <alignment vertical="center"/>
    </xf>
    <xf numFmtId="0" fontId="5" fillId="2" borderId="25" xfId="0" applyFont="1" applyFill="1" applyBorder="1" applyAlignment="1">
      <alignment vertical="center"/>
    </xf>
    <xf numFmtId="0" fontId="7" fillId="2" borderId="0" xfId="0" applyFont="1" applyFill="1"/>
    <xf numFmtId="0" fontId="7" fillId="0" borderId="26" xfId="0" applyFont="1" applyBorder="1" applyAlignment="1">
      <alignment vertical="center"/>
    </xf>
    <xf numFmtId="0" fontId="5" fillId="2" borderId="27" xfId="0" applyFont="1" applyFill="1" applyBorder="1" applyAlignment="1">
      <alignment vertical="center"/>
    </xf>
    <xf numFmtId="0" fontId="7" fillId="2" borderId="0" xfId="0" applyFont="1" applyFill="1" applyBorder="1" applyAlignment="1">
      <alignment vertical="center"/>
    </xf>
    <xf numFmtId="0" fontId="7" fillId="0" borderId="0" xfId="0" applyFont="1" applyBorder="1" applyAlignment="1">
      <alignment vertical="center"/>
    </xf>
    <xf numFmtId="0" fontId="5" fillId="2" borderId="0" xfId="0" applyFont="1" applyFill="1" applyBorder="1" applyAlignment="1">
      <alignment vertical="center"/>
    </xf>
    <xf numFmtId="0" fontId="7" fillId="0" borderId="28" xfId="0" applyFont="1" applyBorder="1" applyAlignment="1">
      <alignment vertical="center"/>
    </xf>
    <xf numFmtId="0" fontId="5" fillId="2" borderId="27" xfId="0" applyFont="1" applyFill="1" applyBorder="1" applyAlignment="1">
      <alignment horizontal="left"/>
    </xf>
    <xf numFmtId="0" fontId="5" fillId="2" borderId="29" xfId="0" applyFont="1" applyFill="1" applyBorder="1" applyAlignment="1">
      <alignment vertical="center"/>
    </xf>
    <xf numFmtId="0" fontId="7" fillId="2" borderId="23" xfId="0" applyFont="1" applyFill="1" applyBorder="1" applyAlignment="1">
      <alignment vertical="center"/>
    </xf>
    <xf numFmtId="0" fontId="7" fillId="0" borderId="23" xfId="0" applyFont="1" applyBorder="1" applyAlignment="1">
      <alignment vertical="center"/>
    </xf>
    <xf numFmtId="0" fontId="5" fillId="2" borderId="23" xfId="0" applyFont="1" applyFill="1" applyBorder="1" applyAlignment="1">
      <alignment vertical="center"/>
    </xf>
    <xf numFmtId="0" fontId="7" fillId="2" borderId="23" xfId="0" applyFont="1" applyFill="1" applyBorder="1"/>
    <xf numFmtId="0" fontId="7" fillId="0" borderId="30" xfId="0" applyFont="1" applyBorder="1" applyAlignment="1">
      <alignment vertical="center"/>
    </xf>
    <xf numFmtId="0" fontId="15" fillId="0" borderId="0" xfId="0" applyFont="1" applyBorder="1" applyAlignment="1">
      <alignment horizontal="right" vertical="center"/>
    </xf>
    <xf numFmtId="0" fontId="15" fillId="0" borderId="0" xfId="0" applyFont="1" applyBorder="1" applyAlignment="1">
      <alignment horizontal="center"/>
    </xf>
    <xf numFmtId="0" fontId="7" fillId="0" borderId="0" xfId="0" applyFont="1" applyAlignment="1"/>
    <xf numFmtId="0" fontId="7" fillId="0" borderId="0" xfId="0" applyFont="1" applyFill="1" applyAlignment="1">
      <alignment vertical="center"/>
    </xf>
    <xf numFmtId="0" fontId="7" fillId="0" borderId="0" xfId="0" applyFont="1" applyBorder="1" applyAlignment="1"/>
    <xf numFmtId="0" fontId="6" fillId="0" borderId="0" xfId="0" applyFont="1" applyFill="1" applyBorder="1" applyAlignment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NumberFormat="1" applyFont="1"/>
    <xf numFmtId="0" fontId="3" fillId="2" borderId="31" xfId="0" applyFont="1" applyFill="1" applyBorder="1"/>
    <xf numFmtId="0" fontId="7" fillId="2" borderId="31" xfId="0" applyFont="1" applyFill="1" applyBorder="1"/>
    <xf numFmtId="0" fontId="3" fillId="2" borderId="31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left"/>
    </xf>
    <xf numFmtId="0" fontId="6" fillId="0" borderId="0" xfId="0" applyFont="1" applyFill="1" applyBorder="1"/>
    <xf numFmtId="0" fontId="7" fillId="0" borderId="0" xfId="0" applyFont="1" applyFill="1" applyBorder="1"/>
    <xf numFmtId="1" fontId="6" fillId="0" borderId="0" xfId="0" applyNumberFormat="1" applyFont="1" applyFill="1" applyBorder="1" applyAlignment="1">
      <alignment horizontal="center"/>
    </xf>
    <xf numFmtId="0" fontId="7" fillId="0" borderId="28" xfId="0" applyFont="1" applyFill="1" applyBorder="1" applyAlignment="1">
      <alignment horizontal="center"/>
    </xf>
    <xf numFmtId="0" fontId="5" fillId="2" borderId="32" xfId="0" applyFont="1" applyFill="1" applyBorder="1" applyAlignment="1">
      <alignment horizontal="left"/>
    </xf>
    <xf numFmtId="0" fontId="7" fillId="0" borderId="23" xfId="0" applyFont="1" applyFill="1" applyBorder="1"/>
    <xf numFmtId="0" fontId="6" fillId="0" borderId="23" xfId="0" applyFont="1" applyFill="1" applyBorder="1"/>
    <xf numFmtId="0" fontId="6" fillId="0" borderId="23" xfId="0" applyFont="1" applyFill="1" applyBorder="1" applyAlignment="1">
      <alignment horizontal="center"/>
    </xf>
    <xf numFmtId="0" fontId="7" fillId="0" borderId="23" xfId="0" applyFont="1" applyFill="1" applyBorder="1" applyAlignment="1">
      <alignment horizontal="center"/>
    </xf>
    <xf numFmtId="0" fontId="7" fillId="0" borderId="30" xfId="0" applyFont="1" applyFill="1" applyBorder="1" applyAlignment="1">
      <alignment horizontal="center"/>
    </xf>
    <xf numFmtId="0" fontId="5" fillId="0" borderId="2" xfId="0" applyFont="1" applyFill="1" applyBorder="1"/>
    <xf numFmtId="0" fontId="7" fillId="0" borderId="4" xfId="0" applyFont="1" applyFill="1" applyBorder="1"/>
    <xf numFmtId="0" fontId="5" fillId="0" borderId="9" xfId="0" applyFont="1" applyFill="1" applyBorder="1" applyAlignment="1">
      <alignment horizontal="left"/>
    </xf>
    <xf numFmtId="0" fontId="3" fillId="0" borderId="0" xfId="0" applyFont="1" applyFill="1" applyBorder="1"/>
    <xf numFmtId="2" fontId="7" fillId="0" borderId="19" xfId="0" applyNumberFormat="1" applyFont="1" applyFill="1" applyBorder="1" applyAlignment="1" applyProtection="1">
      <alignment horizontal="center"/>
      <protection locked="0"/>
    </xf>
    <xf numFmtId="0" fontId="7" fillId="0" borderId="33" xfId="0" applyFont="1" applyFill="1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5" fillId="0" borderId="28" xfId="0" applyFont="1" applyFill="1" applyBorder="1" applyAlignment="1">
      <alignment horizontal="center"/>
    </xf>
    <xf numFmtId="213" fontId="6" fillId="0" borderId="0" xfId="0" applyNumberFormat="1" applyFont="1" applyFill="1" applyBorder="1" applyAlignment="1">
      <alignment horizontal="center"/>
    </xf>
    <xf numFmtId="215" fontId="6" fillId="0" borderId="0" xfId="0" applyNumberFormat="1" applyFont="1" applyFill="1" applyBorder="1" applyAlignment="1">
      <alignment horizontal="center"/>
    </xf>
    <xf numFmtId="9" fontId="6" fillId="0" borderId="0" xfId="2" applyFont="1" applyFill="1" applyBorder="1" applyAlignment="1">
      <alignment horizontal="center"/>
    </xf>
    <xf numFmtId="205" fontId="6" fillId="0" borderId="0" xfId="2" applyNumberFormat="1" applyFont="1" applyFill="1" applyBorder="1" applyAlignment="1">
      <alignment horizontal="center"/>
    </xf>
    <xf numFmtId="164" fontId="0" fillId="0" borderId="0" xfId="0" applyNumberFormat="1"/>
    <xf numFmtId="21" fontId="0" fillId="0" borderId="0" xfId="0" applyNumberFormat="1"/>
    <xf numFmtId="2" fontId="7" fillId="2" borderId="4" xfId="0" applyNumberFormat="1" applyFont="1" applyFill="1" applyBorder="1" applyAlignment="1">
      <alignment horizontal="center"/>
    </xf>
    <xf numFmtId="0" fontId="7" fillId="0" borderId="34" xfId="0" applyFont="1" applyFill="1" applyBorder="1" applyAlignment="1">
      <alignment horizontal="center"/>
    </xf>
    <xf numFmtId="0" fontId="7" fillId="0" borderId="35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2" fontId="7" fillId="0" borderId="37" xfId="0" applyNumberFormat="1" applyFont="1" applyFill="1" applyBorder="1" applyAlignment="1" applyProtection="1">
      <alignment horizontal="center"/>
      <protection locked="0"/>
    </xf>
    <xf numFmtId="2" fontId="7" fillId="0" borderId="38" xfId="0" applyNumberFormat="1" applyFont="1" applyFill="1" applyBorder="1" applyAlignment="1" applyProtection="1">
      <alignment horizontal="center"/>
      <protection locked="0"/>
    </xf>
    <xf numFmtId="2" fontId="7" fillId="0" borderId="39" xfId="0" applyNumberFormat="1" applyFont="1" applyFill="1" applyBorder="1" applyAlignment="1" applyProtection="1">
      <alignment horizontal="center"/>
      <protection locked="0"/>
    </xf>
    <xf numFmtId="2" fontId="7" fillId="0" borderId="4" xfId="0" applyNumberFormat="1" applyFont="1" applyFill="1" applyBorder="1" applyAlignment="1">
      <alignment horizontal="center"/>
    </xf>
    <xf numFmtId="216" fontId="6" fillId="0" borderId="0" xfId="0" applyNumberFormat="1" applyFont="1" applyFill="1" applyBorder="1" applyAlignment="1">
      <alignment horizontal="center"/>
    </xf>
    <xf numFmtId="0" fontId="5" fillId="0" borderId="0" xfId="0" applyFont="1"/>
    <xf numFmtId="0" fontId="5" fillId="0" borderId="10" xfId="0" applyFont="1" applyFill="1" applyBorder="1"/>
    <xf numFmtId="2" fontId="6" fillId="0" borderId="0" xfId="0" applyNumberFormat="1" applyFont="1" applyFill="1" applyBorder="1" applyAlignment="1">
      <alignment horizontal="center"/>
    </xf>
    <xf numFmtId="164" fontId="10" fillId="0" borderId="0" xfId="0" applyNumberFormat="1" applyFont="1"/>
    <xf numFmtId="14" fontId="8" fillId="0" borderId="0" xfId="0" applyNumberFormat="1" applyFont="1"/>
    <xf numFmtId="21" fontId="8" fillId="0" borderId="0" xfId="0" applyNumberFormat="1" applyFont="1"/>
    <xf numFmtId="2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center"/>
    </xf>
    <xf numFmtId="0" fontId="5" fillId="4" borderId="5" xfId="0" applyFont="1" applyFill="1" applyBorder="1" applyAlignment="1">
      <alignment horizontal="center"/>
    </xf>
    <xf numFmtId="164" fontId="7" fillId="0" borderId="11" xfId="0" applyNumberFormat="1" applyFont="1" applyFill="1" applyBorder="1" applyAlignment="1">
      <alignment horizontal="center"/>
    </xf>
    <xf numFmtId="165" fontId="7" fillId="0" borderId="11" xfId="0" applyNumberFormat="1" applyFont="1" applyFill="1" applyBorder="1" applyAlignment="1">
      <alignment horizontal="center"/>
    </xf>
    <xf numFmtId="165" fontId="7" fillId="0" borderId="40" xfId="0" applyNumberFormat="1" applyFont="1" applyFill="1" applyBorder="1" applyAlignment="1">
      <alignment horizontal="center"/>
    </xf>
    <xf numFmtId="0" fontId="5" fillId="0" borderId="41" xfId="0" applyFont="1" applyFill="1" applyBorder="1" applyAlignment="1">
      <alignment horizontal="right"/>
    </xf>
    <xf numFmtId="0" fontId="7" fillId="0" borderId="42" xfId="0" applyFont="1" applyFill="1" applyBorder="1"/>
    <xf numFmtId="0" fontId="5" fillId="0" borderId="42" xfId="0" applyFont="1" applyFill="1" applyBorder="1" applyAlignment="1">
      <alignment horizontal="right"/>
    </xf>
    <xf numFmtId="1" fontId="7" fillId="0" borderId="43" xfId="0" applyNumberFormat="1" applyFont="1" applyFill="1" applyBorder="1" applyAlignment="1">
      <alignment horizontal="center"/>
    </xf>
    <xf numFmtId="164" fontId="7" fillId="0" borderId="44" xfId="0" applyNumberFormat="1" applyFont="1" applyFill="1" applyBorder="1" applyAlignment="1">
      <alignment horizontal="center"/>
    </xf>
    <xf numFmtId="2" fontId="7" fillId="0" borderId="44" xfId="0" applyNumberFormat="1" applyFont="1" applyFill="1" applyBorder="1" applyAlignment="1">
      <alignment horizontal="center"/>
    </xf>
    <xf numFmtId="165" fontId="5" fillId="0" borderId="43" xfId="0" applyNumberFormat="1" applyFont="1" applyFill="1" applyBorder="1" applyAlignment="1">
      <alignment horizontal="center"/>
    </xf>
    <xf numFmtId="0" fontId="7" fillId="0" borderId="43" xfId="0" applyFont="1" applyFill="1" applyBorder="1"/>
    <xf numFmtId="0" fontId="7" fillId="0" borderId="27" xfId="0" applyFont="1" applyBorder="1"/>
    <xf numFmtId="0" fontId="7" fillId="0" borderId="45" xfId="0" applyFont="1" applyFill="1" applyBorder="1" applyAlignment="1">
      <alignment horizontal="left"/>
    </xf>
    <xf numFmtId="0" fontId="7" fillId="0" borderId="27" xfId="0" applyFont="1" applyFill="1" applyBorder="1" applyAlignment="1">
      <alignment horizontal="left"/>
    </xf>
    <xf numFmtId="2" fontId="7" fillId="0" borderId="27" xfId="0" applyNumberFormat="1" applyFont="1" applyFill="1" applyBorder="1" applyAlignment="1">
      <alignment horizontal="left"/>
    </xf>
    <xf numFmtId="0" fontId="5" fillId="0" borderId="0" xfId="0" applyFont="1" applyFill="1" applyAlignment="1">
      <alignment horizontal="right" vertical="center"/>
    </xf>
    <xf numFmtId="14" fontId="5" fillId="0" borderId="9" xfId="0" applyNumberFormat="1" applyFont="1" applyFill="1" applyBorder="1" applyAlignment="1">
      <alignment horizontal="right" vertical="center"/>
    </xf>
    <xf numFmtId="0" fontId="7" fillId="0" borderId="29" xfId="0" applyFont="1" applyFill="1" applyBorder="1" applyAlignment="1">
      <alignment horizontal="left"/>
    </xf>
    <xf numFmtId="17" fontId="5" fillId="0" borderId="0" xfId="0" applyNumberFormat="1" applyFont="1" applyFill="1" applyAlignment="1">
      <alignment horizontal="right" vertical="center"/>
    </xf>
    <xf numFmtId="2" fontId="7" fillId="0" borderId="0" xfId="0" applyNumberFormat="1" applyFont="1" applyBorder="1" applyAlignment="1">
      <alignment horizontal="center"/>
    </xf>
    <xf numFmtId="0" fontId="7" fillId="0" borderId="0" xfId="0" applyFont="1" applyBorder="1"/>
    <xf numFmtId="164" fontId="0" fillId="0" borderId="0" xfId="0" applyNumberFormat="1" applyFill="1"/>
    <xf numFmtId="164" fontId="7" fillId="0" borderId="0" xfId="0" applyNumberFormat="1" applyFont="1" applyFill="1" applyBorder="1" applyAlignment="1" applyProtection="1">
      <alignment horizontal="center"/>
      <protection locked="0"/>
    </xf>
    <xf numFmtId="209" fontId="7" fillId="0" borderId="23" xfId="0" applyNumberFormat="1" applyFont="1" applyBorder="1" applyAlignment="1">
      <alignment horizontal="center" vertical="center"/>
    </xf>
    <xf numFmtId="14" fontId="0" fillId="0" borderId="0" xfId="0" applyNumberFormat="1"/>
    <xf numFmtId="0" fontId="12" fillId="0" borderId="0" xfId="0" applyFont="1" applyBorder="1" applyAlignment="1">
      <alignment vertical="center"/>
    </xf>
    <xf numFmtId="17" fontId="3" fillId="2" borderId="31" xfId="0" applyNumberFormat="1" applyFont="1" applyFill="1" applyBorder="1" applyAlignment="1">
      <alignment horizontal="center"/>
    </xf>
    <xf numFmtId="165" fontId="7" fillId="2" borderId="5" xfId="0" applyNumberFormat="1" applyFont="1" applyFill="1" applyBorder="1" applyAlignment="1">
      <alignment horizontal="center"/>
    </xf>
    <xf numFmtId="0" fontId="20" fillId="0" borderId="0" xfId="0" applyFont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/>
    </xf>
    <xf numFmtId="17" fontId="0" fillId="0" borderId="0" xfId="0" applyNumberFormat="1"/>
    <xf numFmtId="2" fontId="7" fillId="2" borderId="0" xfId="0" applyNumberFormat="1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2" fontId="7" fillId="2" borderId="7" xfId="0" applyNumberFormat="1" applyFont="1" applyFill="1" applyBorder="1" applyAlignment="1">
      <alignment horizontal="center"/>
    </xf>
    <xf numFmtId="2" fontId="7" fillId="2" borderId="9" xfId="0" applyNumberFormat="1" applyFont="1" applyFill="1" applyBorder="1" applyAlignment="1">
      <alignment horizontal="center"/>
    </xf>
    <xf numFmtId="216" fontId="7" fillId="0" borderId="0" xfId="0" applyNumberFormat="1" applyFont="1" applyFill="1" applyBorder="1" applyAlignment="1">
      <alignment horizontal="center"/>
    </xf>
    <xf numFmtId="205" fontId="7" fillId="0" borderId="0" xfId="2" applyNumberFormat="1" applyFont="1" applyFill="1" applyBorder="1" applyAlignment="1">
      <alignment horizontal="center"/>
    </xf>
    <xf numFmtId="213" fontId="7" fillId="0" borderId="0" xfId="0" applyNumberFormat="1" applyFont="1" applyFill="1" applyBorder="1" applyAlignment="1">
      <alignment horizontal="center"/>
    </xf>
    <xf numFmtId="215" fontId="7" fillId="0" borderId="0" xfId="0" applyNumberFormat="1" applyFont="1" applyFill="1" applyBorder="1" applyAlignment="1">
      <alignment horizontal="center"/>
    </xf>
    <xf numFmtId="1" fontId="7" fillId="0" borderId="0" xfId="0" applyNumberFormat="1" applyFont="1" applyFill="1" applyBorder="1" applyAlignment="1">
      <alignment horizontal="center"/>
    </xf>
    <xf numFmtId="9" fontId="7" fillId="0" borderId="0" xfId="2" applyFont="1" applyFill="1" applyBorder="1" applyAlignment="1">
      <alignment horizontal="center"/>
    </xf>
    <xf numFmtId="0" fontId="24" fillId="0" borderId="6" xfId="0" applyFont="1" applyBorder="1" applyAlignment="1">
      <alignment horizontal="center" vertical="center"/>
    </xf>
    <xf numFmtId="0" fontId="0" fillId="0" borderId="34" xfId="0" applyBorder="1"/>
    <xf numFmtId="0" fontId="0" fillId="0" borderId="8" xfId="0" applyBorder="1"/>
    <xf numFmtId="0" fontId="0" fillId="0" borderId="7" xfId="0" applyBorder="1" applyAlignment="1">
      <alignment horizontal="center"/>
    </xf>
    <xf numFmtId="0" fontId="0" fillId="0" borderId="22" xfId="0" applyBorder="1"/>
    <xf numFmtId="0" fontId="0" fillId="0" borderId="19" xfId="0" applyBorder="1"/>
    <xf numFmtId="0" fontId="25" fillId="0" borderId="0" xfId="0" applyFont="1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9" xfId="0" applyBorder="1" applyAlignment="1">
      <alignment vertical="top"/>
    </xf>
    <xf numFmtId="0" fontId="0" fillId="0" borderId="0" xfId="0" applyBorder="1" applyAlignment="1">
      <alignment horizontal="center" vertical="center" wrapText="1"/>
    </xf>
    <xf numFmtId="0" fontId="0" fillId="0" borderId="10" xfId="0" applyBorder="1"/>
    <xf numFmtId="0" fontId="0" fillId="0" borderId="11" xfId="0" applyBorder="1"/>
    <xf numFmtId="0" fontId="0" fillId="0" borderId="9" xfId="0" applyBorder="1" applyAlignment="1">
      <alignment horizontal="center"/>
    </xf>
    <xf numFmtId="14" fontId="0" fillId="0" borderId="0" xfId="0" applyNumberFormat="1" applyBorder="1" applyAlignment="1">
      <alignment horizontal="center"/>
    </xf>
    <xf numFmtId="0" fontId="22" fillId="0" borderId="0" xfId="0" applyFont="1"/>
    <xf numFmtId="164" fontId="7" fillId="0" borderId="0" xfId="2" applyNumberFormat="1" applyFont="1" applyFill="1" applyBorder="1" applyAlignment="1">
      <alignment horizontal="left"/>
    </xf>
    <xf numFmtId="0" fontId="22" fillId="0" borderId="0" xfId="0" applyFont="1" applyFill="1" applyBorder="1" applyAlignment="1"/>
    <xf numFmtId="0" fontId="19" fillId="0" borderId="0" xfId="1" applyAlignment="1" applyProtection="1"/>
    <xf numFmtId="0" fontId="23" fillId="0" borderId="0" xfId="0" applyFont="1" applyBorder="1" applyAlignment="1">
      <alignment horizontal="center"/>
    </xf>
    <xf numFmtId="0" fontId="7" fillId="0" borderId="0" xfId="0" applyFont="1" applyFill="1" applyBorder="1" applyAlignment="1"/>
    <xf numFmtId="0" fontId="7" fillId="0" borderId="28" xfId="0" applyFont="1" applyFill="1" applyBorder="1" applyAlignment="1"/>
    <xf numFmtId="0" fontId="26" fillId="0" borderId="0" xfId="0" applyFont="1"/>
    <xf numFmtId="0" fontId="7" fillId="0" borderId="0" xfId="0" applyFont="1" applyFill="1" applyBorder="1" applyAlignment="1">
      <alignment vertical="center"/>
    </xf>
    <xf numFmtId="49" fontId="7" fillId="0" borderId="23" xfId="0" applyNumberFormat="1" applyFont="1" applyFill="1" applyBorder="1" applyAlignment="1">
      <alignment horizontal="left" vertical="center"/>
    </xf>
    <xf numFmtId="209" fontId="7" fillId="0" borderId="0" xfId="0" applyNumberFormat="1" applyFont="1" applyFill="1" applyBorder="1" applyAlignment="1">
      <alignment horizontal="center" vertical="center"/>
    </xf>
    <xf numFmtId="14" fontId="10" fillId="0" borderId="0" xfId="0" applyNumberFormat="1" applyFont="1"/>
    <xf numFmtId="21" fontId="10" fillId="0" borderId="0" xfId="0" applyNumberFormat="1" applyFont="1"/>
    <xf numFmtId="0" fontId="15" fillId="0" borderId="0" xfId="0" applyFont="1" applyFill="1" applyAlignment="1">
      <alignment horizontal="right"/>
    </xf>
    <xf numFmtId="0" fontId="15" fillId="0" borderId="0" xfId="0" applyFont="1" applyBorder="1" applyAlignment="1">
      <alignment horizontal="center"/>
    </xf>
    <xf numFmtId="0" fontId="7" fillId="0" borderId="0" xfId="0" applyFont="1" applyFill="1" applyBorder="1" applyAlignment="1">
      <alignment horizontal="center"/>
    </xf>
    <xf numFmtId="0" fontId="7" fillId="0" borderId="28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/>
    </xf>
    <xf numFmtId="0" fontId="22" fillId="0" borderId="28" xfId="0" applyFont="1" applyFill="1" applyBorder="1" applyAlignment="1">
      <alignment horizontal="center"/>
    </xf>
    <xf numFmtId="0" fontId="5" fillId="2" borderId="31" xfId="0" applyFont="1" applyFill="1" applyBorder="1" applyAlignment="1">
      <alignment horizontal="center"/>
    </xf>
    <xf numFmtId="0" fontId="5" fillId="2" borderId="46" xfId="0" applyFont="1" applyFill="1" applyBorder="1" applyAlignment="1">
      <alignment horizontal="center"/>
    </xf>
    <xf numFmtId="0" fontId="7" fillId="0" borderId="34" xfId="0" applyFont="1" applyBorder="1" applyAlignment="1">
      <alignment horizontal="left" vertical="top" wrapText="1"/>
    </xf>
    <xf numFmtId="0" fontId="7" fillId="0" borderId="7" xfId="0" applyFont="1" applyBorder="1" applyAlignment="1">
      <alignment horizontal="left" vertical="top" wrapText="1"/>
    </xf>
    <xf numFmtId="0" fontId="7" fillId="0" borderId="8" xfId="0" applyFont="1" applyBorder="1" applyAlignment="1">
      <alignment horizontal="left" vertical="top" wrapText="1"/>
    </xf>
    <xf numFmtId="0" fontId="7" fillId="0" borderId="22" xfId="0" applyFont="1" applyBorder="1" applyAlignment="1">
      <alignment horizontal="left" vertical="top" wrapText="1"/>
    </xf>
    <xf numFmtId="0" fontId="7" fillId="0" borderId="0" xfId="0" applyFont="1" applyBorder="1" applyAlignment="1">
      <alignment horizontal="left" vertical="top" wrapText="1"/>
    </xf>
    <xf numFmtId="0" fontId="7" fillId="0" borderId="19" xfId="0" applyFont="1" applyBorder="1" applyAlignment="1">
      <alignment horizontal="left" vertical="top" wrapText="1"/>
    </xf>
    <xf numFmtId="0" fontId="7" fillId="0" borderId="10" xfId="0" applyFont="1" applyBorder="1" applyAlignment="1">
      <alignment horizontal="left" vertical="top" wrapText="1"/>
    </xf>
    <xf numFmtId="0" fontId="7" fillId="0" borderId="9" xfId="0" applyFont="1" applyBorder="1" applyAlignment="1">
      <alignment horizontal="left" vertical="top" wrapText="1"/>
    </xf>
    <xf numFmtId="0" fontId="7" fillId="0" borderId="11" xfId="0" applyFont="1" applyBorder="1" applyAlignment="1">
      <alignment horizontal="left" vertical="top" wrapText="1"/>
    </xf>
    <xf numFmtId="0" fontId="7" fillId="0" borderId="0" xfId="0" applyFont="1" applyAlignment="1">
      <alignment horizontal="center"/>
    </xf>
    <xf numFmtId="0" fontId="22" fillId="0" borderId="7" xfId="0" applyFont="1" applyFill="1" applyBorder="1" applyAlignment="1">
      <alignment horizontal="center"/>
    </xf>
    <xf numFmtId="0" fontId="22" fillId="0" borderId="47" xfId="0" applyFont="1" applyFill="1" applyBorder="1" applyAlignment="1">
      <alignment horizontal="center"/>
    </xf>
    <xf numFmtId="0" fontId="7" fillId="0" borderId="7" xfId="0" applyFont="1" applyFill="1" applyBorder="1" applyAlignment="1">
      <alignment horizontal="center"/>
    </xf>
    <xf numFmtId="0" fontId="7" fillId="0" borderId="9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0" fontId="5" fillId="0" borderId="2" xfId="0" applyFont="1" applyFill="1" applyBorder="1" applyAlignment="1">
      <alignment horizontal="center"/>
    </xf>
    <xf numFmtId="0" fontId="5" fillId="0" borderId="4" xfId="0" applyFont="1" applyFill="1" applyBorder="1" applyAlignment="1">
      <alignment horizontal="center"/>
    </xf>
    <xf numFmtId="0" fontId="5" fillId="0" borderId="34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 vertical="top" wrapText="1"/>
    </xf>
    <xf numFmtId="0" fontId="5" fillId="0" borderId="1" xfId="0" applyFont="1" applyFill="1" applyBorder="1" applyAlignment="1">
      <alignment horizontal="center" vertical="top" wrapText="1"/>
    </xf>
  </cellXfs>
  <cellStyles count="3">
    <cellStyle name="Hyperlink" xfId="1" builtinId="8"/>
    <cellStyle name="Normal" xfId="0" builtinId="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2.xml"/><Relationship Id="rId4" Type="http://schemas.openxmlformats.org/officeDocument/2006/relationships/externalLink" Target="externalLinks/externalLink1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7927219907705016"/>
          <c:y val="5.9760956175298807E-2"/>
          <c:w val="0.7787136147409367"/>
          <c:h val="0.75697211155378485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'TG18'!$O$11</c:f>
              <c:strCache>
                <c:ptCount val="1"/>
                <c:pt idx="0">
                  <c:v>DICOM 3.14 standard: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'TG18'!$AA$15:$AA$31</c:f>
              <c:numCache>
                <c:formatCode>General</c:formatCode>
                <c:ptCount val="17"/>
                <c:pt idx="0">
                  <c:v>71.573720317209904</c:v>
                </c:pt>
                <c:pt idx="1">
                  <c:v>109.67009837880622</c:v>
                </c:pt>
                <c:pt idx="2">
                  <c:v>147.76647644040253</c:v>
                </c:pt>
                <c:pt idx="3">
                  <c:v>185.86285450199881</c:v>
                </c:pt>
                <c:pt idx="4">
                  <c:v>223.95923256359515</c:v>
                </c:pt>
                <c:pt idx="5">
                  <c:v>262.05561062519143</c:v>
                </c:pt>
                <c:pt idx="6">
                  <c:v>300.15198868678772</c:v>
                </c:pt>
                <c:pt idx="7">
                  <c:v>338.248366748384</c:v>
                </c:pt>
                <c:pt idx="8">
                  <c:v>376.34474480998034</c:v>
                </c:pt>
                <c:pt idx="9">
                  <c:v>414.44112287157668</c:v>
                </c:pt>
                <c:pt idx="10">
                  <c:v>452.53750093317296</c:v>
                </c:pt>
                <c:pt idx="11">
                  <c:v>490.63387899476925</c:v>
                </c:pt>
                <c:pt idx="12">
                  <c:v>528.73025705636553</c:v>
                </c:pt>
                <c:pt idx="13">
                  <c:v>566.82663511796181</c:v>
                </c:pt>
                <c:pt idx="14">
                  <c:v>604.9230131795581</c:v>
                </c:pt>
                <c:pt idx="15">
                  <c:v>643.01939124115438</c:v>
                </c:pt>
                <c:pt idx="16">
                  <c:v>681.11576930275078</c:v>
                </c:pt>
              </c:numCache>
            </c:numRef>
          </c:xVal>
          <c:yVal>
            <c:numRef>
              <c:f>'TG18'!$X$15:$X$31</c:f>
              <c:numCache>
                <c:formatCode>0.000</c:formatCode>
                <c:ptCount val="17"/>
                <c:pt idx="0">
                  <c:v>2.2948435287918158E-2</c:v>
                </c:pt>
                <c:pt idx="1">
                  <c:v>1.7526701103536307E-2</c:v>
                </c:pt>
                <c:pt idx="2">
                  <c:v>1.4381690247965206E-2</c:v>
                </c:pt>
                <c:pt idx="3">
                  <c:v>1.2359897887631388E-2</c:v>
                </c:pt>
                <c:pt idx="4">
                  <c:v>1.0970970127216038E-2</c:v>
                </c:pt>
                <c:pt idx="5">
                  <c:v>9.9710661171683364E-3</c:v>
                </c:pt>
                <c:pt idx="6">
                  <c:v>9.2260570737694395E-3</c:v>
                </c:pt>
                <c:pt idx="7">
                  <c:v>8.6564081478786529E-3</c:v>
                </c:pt>
                <c:pt idx="8">
                  <c:v>8.2121364429851452E-3</c:v>
                </c:pt>
                <c:pt idx="9">
                  <c:v>7.8603421903056352E-3</c:v>
                </c:pt>
                <c:pt idx="10">
                  <c:v>7.5785358090979214E-3</c:v>
                </c:pt>
                <c:pt idx="11">
                  <c:v>7.3508522522474275E-3</c:v>
                </c:pt>
                <c:pt idx="12">
                  <c:v>7.1657973865484536E-3</c:v>
                </c:pt>
                <c:pt idx="13">
                  <c:v>7.0148510068426678E-3</c:v>
                </c:pt>
                <c:pt idx="14">
                  <c:v>6.8915704795835626E-3</c:v>
                </c:pt>
                <c:pt idx="15">
                  <c:v>6.7909982367141452E-3</c:v>
                </c:pt>
                <c:pt idx="16">
                  <c:v>6.7077118450969619E-3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F804-4971-8245-E687B91CA884}"/>
            </c:ext>
          </c:extLst>
        </c:ser>
        <c:ser>
          <c:idx val="2"/>
          <c:order val="1"/>
          <c:tx>
            <c:strRef>
              <c:f>'TG18'!$Y$13</c:f>
              <c:strCache>
                <c:ptCount val="1"/>
                <c:pt idx="0">
                  <c:v>+10%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'TG18'!$AA$15:$AA$31</c:f>
              <c:numCache>
                <c:formatCode>General</c:formatCode>
                <c:ptCount val="17"/>
                <c:pt idx="0">
                  <c:v>71.573720317209904</c:v>
                </c:pt>
                <c:pt idx="1">
                  <c:v>109.67009837880622</c:v>
                </c:pt>
                <c:pt idx="2">
                  <c:v>147.76647644040253</c:v>
                </c:pt>
                <c:pt idx="3">
                  <c:v>185.86285450199881</c:v>
                </c:pt>
                <c:pt idx="4">
                  <c:v>223.95923256359515</c:v>
                </c:pt>
                <c:pt idx="5">
                  <c:v>262.05561062519143</c:v>
                </c:pt>
                <c:pt idx="6">
                  <c:v>300.15198868678772</c:v>
                </c:pt>
                <c:pt idx="7">
                  <c:v>338.248366748384</c:v>
                </c:pt>
                <c:pt idx="8">
                  <c:v>376.34474480998034</c:v>
                </c:pt>
                <c:pt idx="9">
                  <c:v>414.44112287157668</c:v>
                </c:pt>
                <c:pt idx="10">
                  <c:v>452.53750093317296</c:v>
                </c:pt>
                <c:pt idx="11">
                  <c:v>490.63387899476925</c:v>
                </c:pt>
                <c:pt idx="12">
                  <c:v>528.73025705636553</c:v>
                </c:pt>
                <c:pt idx="13">
                  <c:v>566.82663511796181</c:v>
                </c:pt>
                <c:pt idx="14">
                  <c:v>604.9230131795581</c:v>
                </c:pt>
                <c:pt idx="15">
                  <c:v>643.01939124115438</c:v>
                </c:pt>
                <c:pt idx="16">
                  <c:v>681.11576930275078</c:v>
                </c:pt>
              </c:numCache>
            </c:numRef>
          </c:xVal>
          <c:yVal>
            <c:numRef>
              <c:f>'TG18'!$Y$15:$Y$31</c:f>
              <c:numCache>
                <c:formatCode>0.000</c:formatCode>
                <c:ptCount val="17"/>
                <c:pt idx="0">
                  <c:v>2.5243278816709975E-2</c:v>
                </c:pt>
                <c:pt idx="1">
                  <c:v>1.927937121388994E-2</c:v>
                </c:pt>
                <c:pt idx="2">
                  <c:v>1.5819859272761728E-2</c:v>
                </c:pt>
                <c:pt idx="3">
                  <c:v>1.3595887676394528E-2</c:v>
                </c:pt>
                <c:pt idx="4">
                  <c:v>1.2068067139937641E-2</c:v>
                </c:pt>
                <c:pt idx="5">
                  <c:v>1.0968172728885171E-2</c:v>
                </c:pt>
                <c:pt idx="6">
                  <c:v>1.0148662781146385E-2</c:v>
                </c:pt>
                <c:pt idx="7">
                  <c:v>9.5220489626665211E-3</c:v>
                </c:pt>
                <c:pt idx="8">
                  <c:v>9.033350087283662E-3</c:v>
                </c:pt>
                <c:pt idx="9">
                  <c:v>8.6463764093361994E-3</c:v>
                </c:pt>
                <c:pt idx="10">
                  <c:v>8.3363893900077132E-3</c:v>
                </c:pt>
                <c:pt idx="11">
                  <c:v>8.0859374774721708E-3</c:v>
                </c:pt>
                <c:pt idx="12">
                  <c:v>7.8823771252032986E-3</c:v>
                </c:pt>
                <c:pt idx="13">
                  <c:v>7.7163361075269351E-3</c:v>
                </c:pt>
                <c:pt idx="14">
                  <c:v>7.5807275275419188E-3</c:v>
                </c:pt>
                <c:pt idx="15">
                  <c:v>7.4700980603855608E-3</c:v>
                </c:pt>
                <c:pt idx="16">
                  <c:v>7.3784830296066582E-3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F804-4971-8245-E687B91CA884}"/>
            </c:ext>
          </c:extLst>
        </c:ser>
        <c:ser>
          <c:idx val="3"/>
          <c:order val="2"/>
          <c:tx>
            <c:strRef>
              <c:f>'TG18'!$Z$13</c:f>
              <c:strCache>
                <c:ptCount val="1"/>
                <c:pt idx="0">
                  <c:v>-10%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ysDash"/>
            </a:ln>
          </c:spPr>
          <c:marker>
            <c:symbol val="none"/>
          </c:marker>
          <c:xVal>
            <c:numRef>
              <c:f>'TG18'!$AA$15:$AA$31</c:f>
              <c:numCache>
                <c:formatCode>General</c:formatCode>
                <c:ptCount val="17"/>
                <c:pt idx="0">
                  <c:v>71.573720317209904</c:v>
                </c:pt>
                <c:pt idx="1">
                  <c:v>109.67009837880622</c:v>
                </c:pt>
                <c:pt idx="2">
                  <c:v>147.76647644040253</c:v>
                </c:pt>
                <c:pt idx="3">
                  <c:v>185.86285450199881</c:v>
                </c:pt>
                <c:pt idx="4">
                  <c:v>223.95923256359515</c:v>
                </c:pt>
                <c:pt idx="5">
                  <c:v>262.05561062519143</c:v>
                </c:pt>
                <c:pt idx="6">
                  <c:v>300.15198868678772</c:v>
                </c:pt>
                <c:pt idx="7">
                  <c:v>338.248366748384</c:v>
                </c:pt>
                <c:pt idx="8">
                  <c:v>376.34474480998034</c:v>
                </c:pt>
                <c:pt idx="9">
                  <c:v>414.44112287157668</c:v>
                </c:pt>
                <c:pt idx="10">
                  <c:v>452.53750093317296</c:v>
                </c:pt>
                <c:pt idx="11">
                  <c:v>490.63387899476925</c:v>
                </c:pt>
                <c:pt idx="12">
                  <c:v>528.73025705636553</c:v>
                </c:pt>
                <c:pt idx="13">
                  <c:v>566.82663511796181</c:v>
                </c:pt>
                <c:pt idx="14">
                  <c:v>604.9230131795581</c:v>
                </c:pt>
                <c:pt idx="15">
                  <c:v>643.01939124115438</c:v>
                </c:pt>
                <c:pt idx="16">
                  <c:v>681.11576930275078</c:v>
                </c:pt>
              </c:numCache>
            </c:numRef>
          </c:xVal>
          <c:yVal>
            <c:numRef>
              <c:f>'TG18'!$Z$15:$Z$31</c:f>
              <c:numCache>
                <c:formatCode>0.000</c:formatCode>
                <c:ptCount val="17"/>
                <c:pt idx="0">
                  <c:v>2.0653591759126344E-2</c:v>
                </c:pt>
                <c:pt idx="1">
                  <c:v>1.577403099318268E-2</c:v>
                </c:pt>
                <c:pt idx="2">
                  <c:v>1.2943521223168686E-2</c:v>
                </c:pt>
                <c:pt idx="3">
                  <c:v>1.112390809886825E-2</c:v>
                </c:pt>
                <c:pt idx="4">
                  <c:v>9.8738731144944331E-3</c:v>
                </c:pt>
                <c:pt idx="5">
                  <c:v>8.9739595054515019E-3</c:v>
                </c:pt>
                <c:pt idx="6">
                  <c:v>8.3034513663924961E-3</c:v>
                </c:pt>
                <c:pt idx="7">
                  <c:v>7.7907673330907881E-3</c:v>
                </c:pt>
                <c:pt idx="8">
                  <c:v>7.3909227986866319E-3</c:v>
                </c:pt>
                <c:pt idx="9">
                  <c:v>7.0743079712750727E-3</c:v>
                </c:pt>
                <c:pt idx="10">
                  <c:v>6.8206822281881288E-3</c:v>
                </c:pt>
                <c:pt idx="11">
                  <c:v>6.6157670270226843E-3</c:v>
                </c:pt>
                <c:pt idx="12">
                  <c:v>6.4492176478936087E-3</c:v>
                </c:pt>
                <c:pt idx="13">
                  <c:v>6.3133659061584014E-3</c:v>
                </c:pt>
                <c:pt idx="14">
                  <c:v>6.2024134316252064E-3</c:v>
                </c:pt>
                <c:pt idx="15">
                  <c:v>6.1118984130427313E-3</c:v>
                </c:pt>
                <c:pt idx="16">
                  <c:v>6.0369406605872656E-3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F804-4971-8245-E687B91CA884}"/>
            </c:ext>
          </c:extLst>
        </c:ser>
        <c:ser>
          <c:idx val="4"/>
          <c:order val="3"/>
          <c:tx>
            <c:strRef>
              <c:f>'TG18'!$A$9</c:f>
              <c:strCache>
                <c:ptCount val="1"/>
                <c:pt idx="0">
                  <c:v>Left Monitor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5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'TG18'!$AA$15:$AA$31</c:f>
              <c:numCache>
                <c:formatCode>General</c:formatCode>
                <c:ptCount val="17"/>
                <c:pt idx="0">
                  <c:v>71.573720317209904</c:v>
                </c:pt>
                <c:pt idx="1">
                  <c:v>109.67009837880622</c:v>
                </c:pt>
                <c:pt idx="2">
                  <c:v>147.76647644040253</c:v>
                </c:pt>
                <c:pt idx="3">
                  <c:v>185.86285450199881</c:v>
                </c:pt>
                <c:pt idx="4">
                  <c:v>223.95923256359515</c:v>
                </c:pt>
                <c:pt idx="5">
                  <c:v>262.05561062519143</c:v>
                </c:pt>
                <c:pt idx="6">
                  <c:v>300.15198868678772</c:v>
                </c:pt>
                <c:pt idx="7">
                  <c:v>338.248366748384</c:v>
                </c:pt>
                <c:pt idx="8">
                  <c:v>376.34474480998034</c:v>
                </c:pt>
                <c:pt idx="9">
                  <c:v>414.44112287157668</c:v>
                </c:pt>
                <c:pt idx="10">
                  <c:v>452.53750093317296</c:v>
                </c:pt>
                <c:pt idx="11">
                  <c:v>490.63387899476925</c:v>
                </c:pt>
                <c:pt idx="12">
                  <c:v>528.73025705636553</c:v>
                </c:pt>
                <c:pt idx="13">
                  <c:v>566.82663511796181</c:v>
                </c:pt>
                <c:pt idx="14">
                  <c:v>604.9230131795581</c:v>
                </c:pt>
                <c:pt idx="15">
                  <c:v>643.01939124115438</c:v>
                </c:pt>
                <c:pt idx="16">
                  <c:v>681.11576930275078</c:v>
                </c:pt>
              </c:numCache>
            </c:numRef>
          </c:xVal>
          <c:yVal>
            <c:numRef>
              <c:f>'TG18'!$G$15:$G$31</c:f>
              <c:numCache>
                <c:formatCode>0.000</c:formatCode>
                <c:ptCount val="17"/>
                <c:pt idx="0">
                  <c:v>2.2605908095245417E-2</c:v>
                </c:pt>
                <c:pt idx="1">
                  <c:v>1.7729732611303419E-2</c:v>
                </c:pt>
                <c:pt idx="2">
                  <c:v>1.4734228902532596E-2</c:v>
                </c:pt>
                <c:pt idx="3">
                  <c:v>1.2206348516718755E-2</c:v>
                </c:pt>
                <c:pt idx="4">
                  <c:v>1.0729605933316993E-2</c:v>
                </c:pt>
                <c:pt idx="5">
                  <c:v>1.0114376235305709E-2</c:v>
                </c:pt>
                <c:pt idx="6">
                  <c:v>9.3035190687622109E-3</c:v>
                </c:pt>
                <c:pt idx="7">
                  <c:v>8.6449508883173123E-3</c:v>
                </c:pt>
                <c:pt idx="8">
                  <c:v>8.2952063187309334E-3</c:v>
                </c:pt>
                <c:pt idx="9">
                  <c:v>7.8455521922130463E-3</c:v>
                </c:pt>
                <c:pt idx="10">
                  <c:v>7.6592510163174862E-3</c:v>
                </c:pt>
                <c:pt idx="11">
                  <c:v>7.4334058804775205E-3</c:v>
                </c:pt>
                <c:pt idx="12">
                  <c:v>7.1987812383470517E-3</c:v>
                </c:pt>
                <c:pt idx="13">
                  <c:v>7.079940810779263E-3</c:v>
                </c:pt>
                <c:pt idx="14">
                  <c:v>6.9453174593371953E-3</c:v>
                </c:pt>
                <c:pt idx="15">
                  <c:v>6.8953160518160873E-3</c:v>
                </c:pt>
                <c:pt idx="16">
                  <c:v>6.2265578618011554E-3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F804-4971-8245-E687B91CA884}"/>
            </c:ext>
          </c:extLst>
        </c:ser>
        <c:ser>
          <c:idx val="1"/>
          <c:order val="4"/>
          <c:tx>
            <c:strRef>
              <c:f>'TG18'!$A$51</c:f>
              <c:strCache>
                <c:ptCount val="1"/>
                <c:pt idx="0">
                  <c:v>Right Monitor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'TG18'!$AA$57:$AA$73</c:f>
              <c:numCache>
                <c:formatCode>General</c:formatCode>
                <c:ptCount val="17"/>
                <c:pt idx="0">
                  <c:v>67.685475830393415</c:v>
                </c:pt>
                <c:pt idx="1">
                  <c:v>105.65393322925814</c:v>
                </c:pt>
                <c:pt idx="2">
                  <c:v>143.6223906281229</c:v>
                </c:pt>
                <c:pt idx="3">
                  <c:v>181.59084802698766</c:v>
                </c:pt>
                <c:pt idx="4">
                  <c:v>219.55930542585239</c:v>
                </c:pt>
                <c:pt idx="5">
                  <c:v>257.52776282471712</c:v>
                </c:pt>
                <c:pt idx="6">
                  <c:v>295.49622022358187</c:v>
                </c:pt>
                <c:pt idx="7">
                  <c:v>333.46467762244663</c:v>
                </c:pt>
                <c:pt idx="8">
                  <c:v>371.43313502131139</c:v>
                </c:pt>
                <c:pt idx="9">
                  <c:v>409.40159242017614</c:v>
                </c:pt>
                <c:pt idx="10">
                  <c:v>447.3700498190409</c:v>
                </c:pt>
                <c:pt idx="11">
                  <c:v>485.33850721790566</c:v>
                </c:pt>
                <c:pt idx="12">
                  <c:v>523.3069646167703</c:v>
                </c:pt>
                <c:pt idx="13">
                  <c:v>561.27542201563506</c:v>
                </c:pt>
                <c:pt idx="14">
                  <c:v>599.24387941449982</c:v>
                </c:pt>
                <c:pt idx="15">
                  <c:v>637.21233681336457</c:v>
                </c:pt>
                <c:pt idx="16">
                  <c:v>675.18079421222933</c:v>
                </c:pt>
              </c:numCache>
            </c:numRef>
          </c:xVal>
          <c:yVal>
            <c:numRef>
              <c:f>'TG18'!$G$57:$G$73</c:f>
              <c:numCache>
                <c:formatCode>0.000</c:formatCode>
                <c:ptCount val="17"/>
                <c:pt idx="0">
                  <c:v>2.3697115770053959E-2</c:v>
                </c:pt>
                <c:pt idx="1">
                  <c:v>1.7968678144785644E-2</c:v>
                </c:pt>
                <c:pt idx="2">
                  <c:v>1.4927957295117344E-2</c:v>
                </c:pt>
                <c:pt idx="3">
                  <c:v>1.2384967087236883E-2</c:v>
                </c:pt>
                <c:pt idx="4">
                  <c:v>1.0837502542329252E-2</c:v>
                </c:pt>
                <c:pt idx="5">
                  <c:v>1.0265793886035794E-2</c:v>
                </c:pt>
                <c:pt idx="6">
                  <c:v>9.1862007534472181E-3</c:v>
                </c:pt>
                <c:pt idx="7">
                  <c:v>8.6135715686729772E-3</c:v>
                </c:pt>
                <c:pt idx="8">
                  <c:v>8.4304401029459339E-3</c:v>
                </c:pt>
                <c:pt idx="9">
                  <c:v>7.9625458105756011E-3</c:v>
                </c:pt>
                <c:pt idx="10">
                  <c:v>7.580818784259701E-3</c:v>
                </c:pt>
                <c:pt idx="11">
                  <c:v>7.4273154585303494E-3</c:v>
                </c:pt>
                <c:pt idx="12">
                  <c:v>7.3671752523884236E-3</c:v>
                </c:pt>
                <c:pt idx="13">
                  <c:v>7.2463379863439131E-3</c:v>
                </c:pt>
                <c:pt idx="14">
                  <c:v>7.0092137129074529E-3</c:v>
                </c:pt>
                <c:pt idx="15">
                  <c:v>6.5639006921591365E-3</c:v>
                </c:pt>
                <c:pt idx="16">
                  <c:v>6.4644053566370405E-3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F804-4971-8245-E687B91CA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675199"/>
        <c:axId val="1"/>
      </c:scatterChart>
      <c:valAx>
        <c:axId val="140167519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JND index</a:t>
                </a:r>
              </a:p>
            </c:rich>
          </c:tx>
          <c:layout>
            <c:manualLayout>
              <c:xMode val="edge"/>
              <c:yMode val="edge"/>
              <c:x val="0.43977708668769344"/>
              <c:y val="0.90039840637450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dL/L for a JND</a:t>
                </a:r>
              </a:p>
            </c:rich>
          </c:tx>
          <c:layout>
            <c:manualLayout>
              <c:xMode val="edge"/>
              <c:yMode val="edge"/>
              <c:x val="1.4005602240896359E-2"/>
              <c:y val="0.28286852589641437"/>
            </c:manualLayout>
          </c:layout>
          <c:overlay val="0"/>
          <c:spPr>
            <a:noFill/>
            <a:ln w="25400">
              <a:noFill/>
            </a:ln>
          </c:spPr>
        </c:title>
        <c:numFmt formatCode="0.0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675199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5871083269558516"/>
          <c:y val="8.3895383930961631E-2"/>
          <c:w val="0.49349459252084277"/>
          <c:h val="0.28188849000803107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8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Luminance Response</a:t>
            </a:r>
          </a:p>
        </c:rich>
      </c:tx>
      <c:layout>
        <c:manualLayout>
          <c:xMode val="edge"/>
          <c:yMode val="edge"/>
          <c:x val="0.31117856491503515"/>
          <c:y val="3.9840637450199202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601210821272572"/>
          <c:y val="0.15936254980079681"/>
          <c:w val="0.79456310565035171"/>
          <c:h val="0.64143426294820716"/>
        </c:manualLayout>
      </c:layout>
      <c:scatterChart>
        <c:scatterStyle val="smoothMarker"/>
        <c:varyColors val="0"/>
        <c:ser>
          <c:idx val="0"/>
          <c:order val="0"/>
          <c:tx>
            <c:strRef>
              <c:f>'TG18'!$O$11</c:f>
              <c:strCache>
                <c:ptCount val="1"/>
                <c:pt idx="0">
                  <c:v>DICOM 3.14 standard: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'TG18'!$AA$14:$AA$31</c:f>
              <c:numCache>
                <c:formatCode>General</c:formatCode>
                <c:ptCount val="18"/>
                <c:pt idx="1">
                  <c:v>71.573720317209904</c:v>
                </c:pt>
                <c:pt idx="2">
                  <c:v>109.67009837880622</c:v>
                </c:pt>
                <c:pt idx="3">
                  <c:v>147.76647644040253</c:v>
                </c:pt>
                <c:pt idx="4">
                  <c:v>185.86285450199881</c:v>
                </c:pt>
                <c:pt idx="5">
                  <c:v>223.95923256359515</c:v>
                </c:pt>
                <c:pt idx="6">
                  <c:v>262.05561062519143</c:v>
                </c:pt>
                <c:pt idx="7">
                  <c:v>300.15198868678772</c:v>
                </c:pt>
                <c:pt idx="8">
                  <c:v>338.248366748384</c:v>
                </c:pt>
                <c:pt idx="9">
                  <c:v>376.34474480998034</c:v>
                </c:pt>
                <c:pt idx="10">
                  <c:v>414.44112287157668</c:v>
                </c:pt>
                <c:pt idx="11">
                  <c:v>452.53750093317296</c:v>
                </c:pt>
                <c:pt idx="12">
                  <c:v>490.63387899476925</c:v>
                </c:pt>
                <c:pt idx="13">
                  <c:v>528.73025705636553</c:v>
                </c:pt>
                <c:pt idx="14">
                  <c:v>566.82663511796181</c:v>
                </c:pt>
                <c:pt idx="15">
                  <c:v>604.9230131795581</c:v>
                </c:pt>
                <c:pt idx="16">
                  <c:v>643.01939124115438</c:v>
                </c:pt>
                <c:pt idx="17">
                  <c:v>681.11576930275078</c:v>
                </c:pt>
              </c:numCache>
            </c:numRef>
          </c:xVal>
          <c:yVal>
            <c:numRef>
              <c:f>'TG18'!$Q$14:$Q$31</c:f>
              <c:numCache>
                <c:formatCode>0.00</c:formatCode>
                <c:ptCount val="18"/>
                <c:pt idx="0">
                  <c:v>0.60099999999999998</c:v>
                </c:pt>
                <c:pt idx="1">
                  <c:v>1.5344695450707015</c:v>
                </c:pt>
                <c:pt idx="2">
                  <c:v>3.0725227476355821</c:v>
                </c:pt>
                <c:pt idx="3">
                  <c:v>5.391087863502066</c:v>
                </c:pt>
                <c:pt idx="4">
                  <c:v>8.7112539781185845</c:v>
                </c:pt>
                <c:pt idx="5">
                  <c:v>13.314035351583072</c:v>
                </c:pt>
                <c:pt idx="6">
                  <c:v>19.557315803575168</c:v>
                </c:pt>
                <c:pt idx="7">
                  <c:v>27.896905414812057</c:v>
                </c:pt>
                <c:pt idx="8">
                  <c:v>38.913140272135962</c:v>
                </c:pt>
                <c:pt idx="9">
                  <c:v>53.34469453717746</c:v>
                </c:pt>
                <c:pt idx="10">
                  <c:v>72.131680395114316</c:v>
                </c:pt>
                <c:pt idx="11">
                  <c:v>96.470675153890582</c:v>
                </c:pt>
                <c:pt idx="12">
                  <c:v>127.88506016985657</c:v>
                </c:pt>
                <c:pt idx="13">
                  <c:v>168.31502845997198</c:v>
                </c:pt>
                <c:pt idx="14">
                  <c:v>220.23288093127027</c:v>
                </c:pt>
                <c:pt idx="15">
                  <c:v>286.79087107008877</c:v>
                </c:pt>
                <c:pt idx="16">
                  <c:v>372.01098805778872</c:v>
                </c:pt>
                <c:pt idx="17">
                  <c:v>481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D939-4C95-B4D5-A1FD931DBA75}"/>
            </c:ext>
          </c:extLst>
        </c:ser>
        <c:ser>
          <c:idx val="3"/>
          <c:order val="1"/>
          <c:tx>
            <c:strRef>
              <c:f>'TG18'!$A$9</c:f>
              <c:strCache>
                <c:ptCount val="1"/>
                <c:pt idx="0">
                  <c:v>Left Monitor</c:v>
                </c:pt>
              </c:strCache>
            </c:strRef>
          </c:tx>
          <c:spPr>
            <a:ln w="28575">
              <a:noFill/>
            </a:ln>
          </c:spPr>
          <c:marker>
            <c:symbol val="plus"/>
            <c:size val="4"/>
            <c:spPr>
              <a:noFill/>
              <a:ln>
                <a:solidFill>
                  <a:srgbClr val="000080"/>
                </a:solidFill>
                <a:prstDash val="solid"/>
              </a:ln>
            </c:spPr>
          </c:marker>
          <c:xVal>
            <c:numRef>
              <c:f>'TG18'!$H$14:$H$31</c:f>
              <c:numCache>
                <c:formatCode>0.00</c:formatCode>
                <c:ptCount val="18"/>
                <c:pt idx="1">
                  <c:v>71.573720317209904</c:v>
                </c:pt>
                <c:pt idx="2">
                  <c:v>109.67009837880622</c:v>
                </c:pt>
                <c:pt idx="3">
                  <c:v>147.76647644040253</c:v>
                </c:pt>
                <c:pt idx="4">
                  <c:v>185.86285450199881</c:v>
                </c:pt>
                <c:pt idx="5">
                  <c:v>223.95923256359515</c:v>
                </c:pt>
                <c:pt idx="6">
                  <c:v>262.05561062519143</c:v>
                </c:pt>
                <c:pt idx="7">
                  <c:v>300.15198868678772</c:v>
                </c:pt>
                <c:pt idx="8">
                  <c:v>338.248366748384</c:v>
                </c:pt>
                <c:pt idx="9">
                  <c:v>376.34474480998034</c:v>
                </c:pt>
                <c:pt idx="10">
                  <c:v>414.44112287157668</c:v>
                </c:pt>
                <c:pt idx="11">
                  <c:v>452.53750093317296</c:v>
                </c:pt>
                <c:pt idx="12">
                  <c:v>490.63387899476925</c:v>
                </c:pt>
                <c:pt idx="13">
                  <c:v>528.73025705636553</c:v>
                </c:pt>
                <c:pt idx="14">
                  <c:v>566.82663511796181</c:v>
                </c:pt>
                <c:pt idx="15">
                  <c:v>604.9230131795581</c:v>
                </c:pt>
                <c:pt idx="16">
                  <c:v>643.01939124115438</c:v>
                </c:pt>
                <c:pt idx="17">
                  <c:v>681.11576930275078</c:v>
                </c:pt>
              </c:numCache>
            </c:numRef>
          </c:xVal>
          <c:yVal>
            <c:numRef>
              <c:f>'TG18'!$D$14:$D$31</c:f>
              <c:numCache>
                <c:formatCode>0.00</c:formatCode>
                <c:ptCount val="18"/>
                <c:pt idx="0">
                  <c:v>0.60099999999999998</c:v>
                </c:pt>
                <c:pt idx="1">
                  <c:v>1.51</c:v>
                </c:pt>
                <c:pt idx="2">
                  <c:v>3.05</c:v>
                </c:pt>
                <c:pt idx="3">
                  <c:v>5.43</c:v>
                </c:pt>
                <c:pt idx="4">
                  <c:v>8.7200000000000006</c:v>
                </c:pt>
                <c:pt idx="5">
                  <c:v>13.2</c:v>
                </c:pt>
                <c:pt idx="6">
                  <c:v>19.5</c:v>
                </c:pt>
                <c:pt idx="7">
                  <c:v>27.9</c:v>
                </c:pt>
                <c:pt idx="8">
                  <c:v>38.9</c:v>
                </c:pt>
                <c:pt idx="9">
                  <c:v>53.5</c:v>
                </c:pt>
                <c:pt idx="10">
                  <c:v>72.3</c:v>
                </c:pt>
                <c:pt idx="11">
                  <c:v>97</c:v>
                </c:pt>
                <c:pt idx="12">
                  <c:v>129</c:v>
                </c:pt>
                <c:pt idx="13">
                  <c:v>170</c:v>
                </c:pt>
                <c:pt idx="14">
                  <c:v>223</c:v>
                </c:pt>
                <c:pt idx="15">
                  <c:v>291</c:v>
                </c:pt>
                <c:pt idx="16">
                  <c:v>379</c:v>
                </c:pt>
                <c:pt idx="17">
                  <c:v>481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D939-4C95-B4D5-A1FD931DBA75}"/>
            </c:ext>
          </c:extLst>
        </c:ser>
        <c:ser>
          <c:idx val="1"/>
          <c:order val="2"/>
          <c:tx>
            <c:strRef>
              <c:f>'TG18'!$A$51</c:f>
              <c:strCache>
                <c:ptCount val="1"/>
                <c:pt idx="0">
                  <c:v>Right Monitor</c:v>
                </c:pt>
              </c:strCache>
            </c:strRef>
          </c:tx>
          <c:spPr>
            <a:ln w="28575">
              <a:noFill/>
            </a:ln>
          </c:spPr>
          <c:marker>
            <c:symbol val="circle"/>
            <c:size val="5"/>
            <c:spPr>
              <a:noFill/>
              <a:ln>
                <a:solidFill>
                  <a:srgbClr val="FF00FF"/>
                </a:solidFill>
                <a:prstDash val="solid"/>
              </a:ln>
            </c:spPr>
          </c:marker>
          <c:xVal>
            <c:numRef>
              <c:f>'TG18'!$H$56:$H$73</c:f>
              <c:numCache>
                <c:formatCode>0.00</c:formatCode>
                <c:ptCount val="18"/>
                <c:pt idx="1">
                  <c:v>67.685475830393415</c:v>
                </c:pt>
                <c:pt idx="2">
                  <c:v>105.65393322925814</c:v>
                </c:pt>
                <c:pt idx="3">
                  <c:v>143.6223906281229</c:v>
                </c:pt>
                <c:pt idx="4">
                  <c:v>181.59084802698766</c:v>
                </c:pt>
                <c:pt idx="5">
                  <c:v>219.55930542585239</c:v>
                </c:pt>
                <c:pt idx="6">
                  <c:v>257.52776282471712</c:v>
                </c:pt>
                <c:pt idx="7">
                  <c:v>295.49622022358187</c:v>
                </c:pt>
                <c:pt idx="8">
                  <c:v>333.46467762244663</c:v>
                </c:pt>
                <c:pt idx="9">
                  <c:v>371.43313502131139</c:v>
                </c:pt>
                <c:pt idx="10">
                  <c:v>409.40159242017614</c:v>
                </c:pt>
                <c:pt idx="11">
                  <c:v>447.3700498190409</c:v>
                </c:pt>
                <c:pt idx="12">
                  <c:v>485.33850721790566</c:v>
                </c:pt>
                <c:pt idx="13">
                  <c:v>523.3069646167703</c:v>
                </c:pt>
                <c:pt idx="14">
                  <c:v>561.27542201563506</c:v>
                </c:pt>
                <c:pt idx="15">
                  <c:v>599.24387941449982</c:v>
                </c:pt>
                <c:pt idx="16">
                  <c:v>637.21233681336457</c:v>
                </c:pt>
                <c:pt idx="17">
                  <c:v>675.18079421222933</c:v>
                </c:pt>
              </c:numCache>
            </c:numRef>
          </c:xVal>
          <c:yVal>
            <c:numRef>
              <c:f>'TG18'!$D$56:$D$73</c:f>
              <c:numCache>
                <c:formatCode>0.00</c:formatCode>
                <c:ptCount val="18"/>
                <c:pt idx="0">
                  <c:v>0.53500000000000003</c:v>
                </c:pt>
                <c:pt idx="1">
                  <c:v>1.41</c:v>
                </c:pt>
                <c:pt idx="2">
                  <c:v>2.87</c:v>
                </c:pt>
                <c:pt idx="3">
                  <c:v>5.14</c:v>
                </c:pt>
                <c:pt idx="4">
                  <c:v>8.3000000000000007</c:v>
                </c:pt>
                <c:pt idx="5">
                  <c:v>12.6</c:v>
                </c:pt>
                <c:pt idx="6">
                  <c:v>18.7</c:v>
                </c:pt>
                <c:pt idx="7">
                  <c:v>26.6</c:v>
                </c:pt>
                <c:pt idx="8">
                  <c:v>37</c:v>
                </c:pt>
                <c:pt idx="9">
                  <c:v>51.1</c:v>
                </c:pt>
                <c:pt idx="10">
                  <c:v>69.3</c:v>
                </c:pt>
                <c:pt idx="11">
                  <c:v>92.6</c:v>
                </c:pt>
                <c:pt idx="12">
                  <c:v>123</c:v>
                </c:pt>
                <c:pt idx="13">
                  <c:v>163</c:v>
                </c:pt>
                <c:pt idx="14">
                  <c:v>215</c:v>
                </c:pt>
                <c:pt idx="15">
                  <c:v>281</c:v>
                </c:pt>
                <c:pt idx="16">
                  <c:v>361</c:v>
                </c:pt>
                <c:pt idx="17">
                  <c:v>462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D939-4C95-B4D5-A1FD931DBA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401671455"/>
        <c:axId val="1"/>
      </c:scatterChart>
      <c:valAx>
        <c:axId val="1401671455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JND index</a:t>
                </a:r>
              </a:p>
            </c:rich>
          </c:tx>
          <c:layout>
            <c:manualLayout>
              <c:xMode val="edge"/>
              <c:yMode val="edge"/>
              <c:x val="0.4199402114010673"/>
              <c:y val="0.9003984063745019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At val="1E-3"/>
        <c:crossBetween val="midCat"/>
      </c:valAx>
      <c:valAx>
        <c:axId val="1"/>
        <c:scaling>
          <c:logBase val="10"/>
          <c:orientation val="minMax"/>
        </c:scaling>
        <c:delete val="0"/>
        <c:axPos val="l"/>
        <c:majorGridlines>
          <c:spPr>
            <a:ln w="3175">
              <a:solidFill>
                <a:srgbClr val="C0C0C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Luminance (cd/m²)</a:t>
                </a:r>
              </a:p>
            </c:rich>
          </c:tx>
          <c:layout>
            <c:manualLayout>
              <c:xMode val="edge"/>
              <c:yMode val="edge"/>
              <c:x val="1.5105740181268883E-2"/>
              <c:y val="0.262948207171314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401671455"/>
        <c:crosses val="autoZero"/>
        <c:crossBetween val="midCat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48114705327595703"/>
          <c:y val="0.6074025796601622"/>
          <c:w val="0.45520284942284178"/>
          <c:h val="0.16443495250468479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3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68792</xdr:colOff>
      <xdr:row>3</xdr:row>
      <xdr:rowOff>66461</xdr:rowOff>
    </xdr:from>
    <xdr:to>
      <xdr:col>7</xdr:col>
      <xdr:colOff>374881</xdr:colOff>
      <xdr:row>6</xdr:row>
      <xdr:rowOff>10613</xdr:rowOff>
    </xdr:to>
    <xdr:sp macro="" textlink="">
      <xdr:nvSpPr>
        <xdr:cNvPr id="7169" name="Text 2"/>
        <xdr:cNvSpPr txBox="1">
          <a:spLocks noChangeArrowheads="1"/>
        </xdr:cNvSpPr>
      </xdr:nvSpPr>
      <xdr:spPr bwMode="auto">
        <a:xfrm>
          <a:off x="227542" y="698498"/>
          <a:ext cx="4076734" cy="444502"/>
        </a:xfrm>
        <a:prstGeom prst="rect">
          <a:avLst/>
        </a:prstGeom>
        <a:noFill/>
        <a:ln>
          <a:noFill/>
        </a:ln>
      </xdr:spPr>
      <xdr:txBody>
        <a:bodyPr vertOverflow="clip" wrap="square" lIns="45720" tIns="41148" rIns="0" bIns="0" anchor="t" upright="1"/>
        <a:lstStyle/>
        <a:p>
          <a:pPr algn="l" rtl="0">
            <a:defRPr sz="1000"/>
          </a:pPr>
          <a:r>
            <a:rPr lang="en-GB" sz="2200" b="1" i="1" u="none" strike="noStrike" baseline="0">
              <a:solidFill>
                <a:srgbClr val="000000"/>
              </a:solidFill>
              <a:latin typeface="Arial"/>
              <a:cs typeface="Arial"/>
            </a:rPr>
            <a:t>Acceptance Report</a:t>
          </a:r>
          <a:endParaRPr lang="en-GB"/>
        </a:p>
      </xdr:txBody>
    </xdr:sp>
    <xdr:clientData/>
  </xdr:twoCellAnchor>
  <xdr:twoCellAnchor editAs="oneCell">
    <xdr:from>
      <xdr:col>2</xdr:col>
      <xdr:colOff>7620</xdr:colOff>
      <xdr:row>91</xdr:row>
      <xdr:rowOff>106680</xdr:rowOff>
    </xdr:from>
    <xdr:to>
      <xdr:col>12</xdr:col>
      <xdr:colOff>563880</xdr:colOff>
      <xdr:row>121</xdr:row>
      <xdr:rowOff>76200</xdr:rowOff>
    </xdr:to>
    <xdr:pic>
      <xdr:nvPicPr>
        <xdr:cNvPr id="450768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0540" y="14157960"/>
          <a:ext cx="7528560" cy="495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10</xdr:col>
      <xdr:colOff>236220</xdr:colOff>
      <xdr:row>90</xdr:row>
      <xdr:rowOff>83820</xdr:rowOff>
    </xdr:to>
    <xdr:pic>
      <xdr:nvPicPr>
        <xdr:cNvPr id="450769" name="Picture 1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2920" y="11003280"/>
          <a:ext cx="5928360" cy="29794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23</xdr:col>
      <xdr:colOff>388620</xdr:colOff>
      <xdr:row>64</xdr:row>
      <xdr:rowOff>7620</xdr:rowOff>
    </xdr:from>
    <xdr:to>
      <xdr:col>35</xdr:col>
      <xdr:colOff>99060</xdr:colOff>
      <xdr:row>99</xdr:row>
      <xdr:rowOff>76200</xdr:rowOff>
    </xdr:to>
    <xdr:pic>
      <xdr:nvPicPr>
        <xdr:cNvPr id="450772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4000" y="9944100"/>
          <a:ext cx="7208520" cy="547878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487680</xdr:colOff>
      <xdr:row>33</xdr:row>
      <xdr:rowOff>68580</xdr:rowOff>
    </xdr:from>
    <xdr:to>
      <xdr:col>9</xdr:col>
      <xdr:colOff>662940</xdr:colOff>
      <xdr:row>49</xdr:row>
      <xdr:rowOff>15240</xdr:rowOff>
    </xdr:to>
    <xdr:graphicFrame macro="">
      <xdr:nvGraphicFramePr>
        <xdr:cNvPr id="2861" name="Chart 1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33</xdr:row>
      <xdr:rowOff>68580</xdr:rowOff>
    </xdr:from>
    <xdr:to>
      <xdr:col>4</xdr:col>
      <xdr:colOff>495300</xdr:colOff>
      <xdr:row>49</xdr:row>
      <xdr:rowOff>15240</xdr:rowOff>
    </xdr:to>
    <xdr:graphicFrame macro="">
      <xdr:nvGraphicFramePr>
        <xdr:cNvPr id="2862" name="Chart 25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w-vfandp-004\Shared%20Data\Documents%20and%20Settings\physics\Desktop\Monitors\Documents%20and%20Settings\admin\Desktop\Templates\CR%20Samei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lw-vfandp-004\Shared%20Data\Documents%20and%20Settings\physics\Desktop\Monitors\Imaging%20-%20RSU\Med_QA\Reports_07\Hammersmith\HH%20Rm4%2011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R"/>
      <sheetName val="Display"/>
      <sheetName val="Printer"/>
      <sheetName val="JND"/>
    </sheetNames>
    <sheetDataSet>
      <sheetData sheetId="0">
        <row r="16">
          <cell r="K16" t="str">
            <v>UCR version 98.2, 03-04-98</v>
          </cell>
        </row>
        <row r="17">
          <cell r="A17" t="str">
            <v>This worksheet has been developed by Ehsan Samei, Ph.D. for acceptance testing of photostimulable phosphor imaging</v>
          </cell>
        </row>
        <row r="18">
          <cell r="A18" t="str">
            <v>systems (commercially known as computed radiography or CR).  The worksheet closely follows the recommendations of</v>
          </cell>
        </row>
        <row r="19">
          <cell r="A19" t="str">
            <v>the American Association of Physicists in Medicine (AAPM) Task Group No.10 with some minor differences.</v>
          </cell>
        </row>
        <row r="21">
          <cell r="A21" t="str">
            <v>Please note the following before using this worksheet:</v>
          </cell>
        </row>
        <row r="22">
          <cell r="A22" t="str">
            <v>1. The developer and the AAPM do not accept any liability for errors that might occur in using this worksheet. All  users are</v>
          </cell>
        </row>
        <row r="23">
          <cell r="A23" t="str">
            <v>advised to carefully evaluate all results in accordance with the recommendations of the AAPM Task Group No. 10, other</v>
          </cell>
        </row>
        <row r="24">
          <cell r="A24" t="str">
            <v>professional bodies, and the manufacturer.</v>
          </cell>
        </row>
        <row r="25">
          <cell r="A25" t="str">
            <v>2. The worksheet copyright is owned by Ehsan Samei, Ph.D.  However, the spreadsheet may be used in conjunction with</v>
          </cell>
        </row>
        <row r="26">
          <cell r="A26" t="str">
            <v>individual professional activity without license.  The worksheet cannot be sold to another party.</v>
          </cell>
        </row>
        <row r="27">
          <cell r="A27" t="str">
            <v>3. It is requested that individual users not distribute copies but refer requests to the AAPM web server or the developer.</v>
          </cell>
        </row>
        <row r="30">
          <cell r="A30" t="str">
            <v>Worksheet Parameters</v>
          </cell>
        </row>
        <row r="31">
          <cell r="G31" t="str">
            <v>The name of your health care institution:</v>
          </cell>
        </row>
        <row r="32">
          <cell r="G32" t="str">
            <v>City, State:</v>
          </cell>
        </row>
        <row r="33">
          <cell r="I33" t="str">
            <v>The CR engine of the equipment being tested (F = Fuji, K = Kodak):</v>
          </cell>
          <cell r="J33" t="str">
            <v>F</v>
          </cell>
        </row>
        <row r="34">
          <cell r="I34" t="str">
            <v>Are hard-copy print-outs or soft-copy display used for quantitative evaluation (H / S)?</v>
          </cell>
          <cell r="J34" t="str">
            <v>H</v>
          </cell>
        </row>
        <row r="37">
          <cell r="A37" t="str">
            <v xml:space="preserve"> Acceptance Criteria</v>
          </cell>
        </row>
        <row r="38">
          <cell r="G38" t="str">
            <v>Dark Noise (Fuji, Max Avg OD and SD):</v>
          </cell>
          <cell r="H38">
            <v>0.05</v>
          </cell>
          <cell r="I38">
            <v>0.01</v>
          </cell>
        </row>
        <row r="39">
          <cell r="G39" t="str">
            <v>Dark Noise (Fuji, Min Avg PV and SD):</v>
          </cell>
          <cell r="H39">
            <v>1020</v>
          </cell>
          <cell r="I39">
            <v>0.5</v>
          </cell>
        </row>
        <row r="40">
          <cell r="G40" t="str">
            <v>Dark Noise (Kodak, Max EI for GP plates):</v>
          </cell>
          <cell r="H40">
            <v>100</v>
          </cell>
        </row>
        <row r="41">
          <cell r="G41" t="str">
            <v>Dark Noise (Kodak, Max EI for HR plates):</v>
          </cell>
          <cell r="H41">
            <v>400</v>
          </cell>
        </row>
        <row r="43">
          <cell r="G43" t="str">
            <v>Uniformity, Linearity/Slope, and Beam Quality (Avg OD and max diff tolerance):</v>
          </cell>
          <cell r="H43">
            <v>1.4652307692307689</v>
          </cell>
          <cell r="I43">
            <v>0.14652307692307689</v>
          </cell>
        </row>
        <row r="44">
          <cell r="G44" t="str">
            <v>Uniformity (Max OD SD):</v>
          </cell>
          <cell r="H44">
            <v>7.3261538461538447E-2</v>
          </cell>
        </row>
        <row r="45">
          <cell r="G45" t="str">
            <v>Uniformity, Linearity/Slope, and Beam Quality (Avg PV and max diff tolerance):</v>
          </cell>
          <cell r="H45">
            <v>511</v>
          </cell>
          <cell r="I45">
            <v>51.1</v>
          </cell>
        </row>
        <row r="46">
          <cell r="G46" t="str">
            <v>Uniformity (Max PV SD):</v>
          </cell>
          <cell r="H46">
            <v>25.55</v>
          </cell>
        </row>
        <row r="47">
          <cell r="G47" t="str">
            <v>Uniformity (Max Plate-Plate SD/Avg of S):</v>
          </cell>
          <cell r="H47">
            <v>0.1</v>
          </cell>
        </row>
        <row r="48">
          <cell r="G48" t="str">
            <v>Uniformity (Max Plate-Plate SD/Avg of OD/PV):</v>
          </cell>
          <cell r="H48">
            <v>0.1</v>
          </cell>
        </row>
        <row r="50">
          <cell r="G50" t="str">
            <v>Linearity and Slope (Expected Avg PV and S Slope, Fuji):</v>
          </cell>
          <cell r="H50">
            <v>512</v>
          </cell>
          <cell r="I50">
            <v>-1</v>
          </cell>
        </row>
        <row r="51">
          <cell r="G51" t="str">
            <v>Linearity and Slope (Expected EI Slope and PV Slope, Kodak):</v>
          </cell>
          <cell r="H51">
            <v>1000</v>
          </cell>
          <cell r="I51">
            <v>1000</v>
          </cell>
        </row>
        <row r="52">
          <cell r="G52" t="str">
            <v>Linearity and Slope (Expected PV Slope, Fuji, L=4 and L=2):</v>
          </cell>
          <cell r="H52">
            <v>-256</v>
          </cell>
          <cell r="I52">
            <v>-512</v>
          </cell>
        </row>
        <row r="53">
          <cell r="G53" t="str">
            <v>Linearity and Slope (% diff between average and expected slope, PV and EI/S):</v>
          </cell>
          <cell r="H53">
            <v>0.2</v>
          </cell>
        </row>
        <row r="54">
          <cell r="G54" t="str">
            <v>Linearity and Slope (% diff between average and expected slope, OD):</v>
          </cell>
          <cell r="H54">
            <v>0.4</v>
          </cell>
        </row>
        <row r="55">
          <cell r="G55" t="str">
            <v>Linearity and Slope (Min Corr. Coef., PV, OD, EI/S):</v>
          </cell>
          <cell r="H55">
            <v>0.95</v>
          </cell>
        </row>
        <row r="57">
          <cell r="G57" t="str">
            <v>Calibration (Fuji S number and +/- tolerance):</v>
          </cell>
          <cell r="H57">
            <v>200</v>
          </cell>
          <cell r="I57">
            <v>10</v>
          </cell>
        </row>
        <row r="58">
          <cell r="G58" t="str">
            <v>Calibration (Kodak EI number and +/- tolerance):</v>
          </cell>
          <cell r="H58">
            <v>2000</v>
          </cell>
          <cell r="I58">
            <v>50</v>
          </cell>
        </row>
        <row r="60">
          <cell r="G60" t="str">
            <v>High-Contrast (diff from expected higher than):</v>
          </cell>
          <cell r="H60">
            <v>-0.1</v>
          </cell>
        </row>
        <row r="61">
          <cell r="G61" t="str">
            <v>Distortion (Max diff from expected):</v>
          </cell>
          <cell r="H61">
            <v>0.02</v>
          </cell>
        </row>
        <row r="63">
          <cell r="G63" t="str">
            <v>CR reader throughput:</v>
          </cell>
          <cell r="H63">
            <v>70</v>
          </cell>
          <cell r="I63" t="str">
            <v>plates /hr</v>
          </cell>
        </row>
        <row r="64">
          <cell r="G64" t="str">
            <v>CR reader throughput (w/ printer):</v>
          </cell>
          <cell r="H64">
            <v>50</v>
          </cell>
          <cell r="I64" t="str">
            <v>plates /hr</v>
          </cell>
        </row>
        <row r="65">
          <cell r="G65" t="str">
            <v>Percent throughput tolerance:</v>
          </cell>
          <cell r="H65">
            <v>-0.1</v>
          </cell>
        </row>
        <row r="67">
          <cell r="G67" t="str">
            <v>Display geometrical distortion tolerance:</v>
          </cell>
          <cell r="H67">
            <v>0.02</v>
          </cell>
        </row>
        <row r="68">
          <cell r="G68" t="str">
            <v>Minimum glare ratio:</v>
          </cell>
          <cell r="H68">
            <v>150</v>
          </cell>
        </row>
        <row r="78">
          <cell r="B78" t="str">
            <v>Date:</v>
          </cell>
          <cell r="C78" t="str">
            <v/>
          </cell>
          <cell r="I78" t="str">
            <v>Location:</v>
          </cell>
          <cell r="J78" t="str">
            <v/>
          </cell>
        </row>
        <row r="79">
          <cell r="B79" t="str">
            <v>Medical Physicist:</v>
          </cell>
          <cell r="C79" t="str">
            <v/>
          </cell>
          <cell r="I79" t="str">
            <v>System Identification:</v>
          </cell>
          <cell r="J79" t="str">
            <v/>
          </cell>
        </row>
        <row r="80">
          <cell r="A80" t="str">
            <v>UCR version 98.2, 03-04-98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 t="str">
            <v>CR System Performance</v>
          </cell>
        </row>
        <row r="87">
          <cell r="F87" t="str">
            <v>System Information</v>
          </cell>
        </row>
        <row r="90">
          <cell r="C90" t="str">
            <v>CR System Identification:</v>
          </cell>
          <cell r="H90" t="str">
            <v>Test Date:</v>
          </cell>
        </row>
        <row r="91">
          <cell r="H91" t="str">
            <v>Medical Physicist:</v>
          </cell>
        </row>
        <row r="92">
          <cell r="B92" t="str">
            <v>Location</v>
          </cell>
        </row>
        <row r="93">
          <cell r="C93" t="str">
            <v>Facility:</v>
          </cell>
        </row>
        <row r="94">
          <cell r="C94" t="str">
            <v>Department:</v>
          </cell>
        </row>
        <row r="95">
          <cell r="C95" t="str">
            <v>Area/Division:</v>
          </cell>
        </row>
        <row r="96">
          <cell r="C96" t="str">
            <v>Room Number:</v>
          </cell>
        </row>
        <row r="98">
          <cell r="B98" t="str">
            <v>CR Reader</v>
          </cell>
          <cell r="G98" t="str">
            <v>Imaging Plate Inventory</v>
          </cell>
        </row>
        <row r="99">
          <cell r="C99" t="str">
            <v>Manufacturer:</v>
          </cell>
          <cell r="H99" t="str">
            <v>Type/Size</v>
          </cell>
          <cell r="J99" t="str">
            <v>Number</v>
          </cell>
        </row>
        <row r="100">
          <cell r="C100" t="str">
            <v>Model:</v>
          </cell>
        </row>
        <row r="101">
          <cell r="C101" t="str">
            <v>Date of Manufacture:</v>
          </cell>
        </row>
        <row r="102">
          <cell r="C102" t="str">
            <v>Serial Number:</v>
          </cell>
        </row>
        <row r="104">
          <cell r="B104" t="str">
            <v>Quality Control Workstation</v>
          </cell>
        </row>
        <row r="105">
          <cell r="C105" t="str">
            <v>Manufacturer:</v>
          </cell>
        </row>
        <row r="106">
          <cell r="C106" t="str">
            <v>Model:</v>
          </cell>
          <cell r="I106" t="str">
            <v>Cassette Type (metric / non-metric):</v>
          </cell>
        </row>
        <row r="107">
          <cell r="C107" t="str">
            <v>Serial Number:</v>
          </cell>
        </row>
        <row r="108">
          <cell r="C108" t="str">
            <v>QCW Software:</v>
          </cell>
          <cell r="E108" t="str">
            <v>version</v>
          </cell>
        </row>
        <row r="110">
          <cell r="B110" t="str">
            <v>Other System Components</v>
          </cell>
        </row>
        <row r="111">
          <cell r="C111" t="str">
            <v>Component:</v>
          </cell>
          <cell r="H111" t="str">
            <v>Component:</v>
          </cell>
        </row>
        <row r="112">
          <cell r="C112" t="str">
            <v>Manufacturer / Model:</v>
          </cell>
          <cell r="H112" t="str">
            <v>Manufacturer / Model:</v>
          </cell>
        </row>
        <row r="113">
          <cell r="C113" t="str">
            <v>Date of Manufacture:</v>
          </cell>
          <cell r="H113" t="str">
            <v>Date of Manufacture:</v>
          </cell>
        </row>
        <row r="114">
          <cell r="C114" t="str">
            <v>Serial Number:</v>
          </cell>
          <cell r="H114" t="str">
            <v>Serial Number:</v>
          </cell>
        </row>
        <row r="116">
          <cell r="F116" t="str">
            <v>Major components used to test the equipment</v>
          </cell>
        </row>
        <row r="118">
          <cell r="B118" t="str">
            <v>X-Ray System used to test the CR unit</v>
          </cell>
        </row>
        <row r="119">
          <cell r="C119" t="str">
            <v>Location:</v>
          </cell>
          <cell r="G119" t="str">
            <v>Focal spot(s):</v>
          </cell>
          <cell r="I119" t="str">
            <v>mm nominal</v>
          </cell>
        </row>
        <row r="120">
          <cell r="C120" t="str">
            <v>Generator:</v>
          </cell>
          <cell r="G120" t="str">
            <v>Grid:</v>
          </cell>
          <cell r="I120" t="str">
            <v>ratio</v>
          </cell>
        </row>
        <row r="121">
          <cell r="C121" t="str">
            <v>X-Ray Tube:</v>
          </cell>
          <cell r="I121" t="str">
            <v>frequency</v>
          </cell>
        </row>
        <row r="122">
          <cell r="C122" t="str">
            <v>Date of Previous Inspection:</v>
          </cell>
          <cell r="H122" t="str">
            <v>Stationary (y/n):</v>
          </cell>
        </row>
        <row r="124">
          <cell r="B124" t="str">
            <v>Display Monitor used to test the CR unit</v>
          </cell>
        </row>
        <row r="125">
          <cell r="C125" t="str">
            <v>System Identification:</v>
          </cell>
        </row>
        <row r="126">
          <cell r="B126" t="str">
            <v>Workstation</v>
          </cell>
          <cell r="G126" t="str">
            <v>Display Monitor</v>
          </cell>
        </row>
        <row r="127">
          <cell r="C127" t="str">
            <v>Manufacturer / Model:</v>
          </cell>
          <cell r="H127" t="str">
            <v>Manufacturer / Model:</v>
          </cell>
        </row>
        <row r="128">
          <cell r="C128" t="str">
            <v>Serial Number:</v>
          </cell>
          <cell r="H128" t="str">
            <v>Serial Number:</v>
          </cell>
        </row>
        <row r="129">
          <cell r="C129" t="str">
            <v>Software:</v>
          </cell>
          <cell r="E129" t="str">
            <v>version</v>
          </cell>
          <cell r="H129" t="str">
            <v>Date of Previous Inspection:</v>
          </cell>
        </row>
        <row r="131">
          <cell r="B131" t="str">
            <v>Hard-copy printer used to test the CR unit</v>
          </cell>
          <cell r="G131" t="str">
            <v>Other System Components</v>
          </cell>
        </row>
        <row r="132">
          <cell r="C132" t="str">
            <v>System Identification:</v>
          </cell>
          <cell r="H132" t="str">
            <v>Component:</v>
          </cell>
        </row>
        <row r="133">
          <cell r="C133" t="str">
            <v>Manufacturer / Model:</v>
          </cell>
          <cell r="H133" t="str">
            <v>Manufacturer / Model:</v>
          </cell>
        </row>
        <row r="134">
          <cell r="C134" t="str">
            <v>Serial Number:</v>
          </cell>
          <cell r="H134" t="str">
            <v>Serial Number:</v>
          </cell>
        </row>
        <row r="135">
          <cell r="C135" t="str">
            <v>Date of Last Calibration:</v>
          </cell>
        </row>
        <row r="136">
          <cell r="H136" t="str">
            <v>Component:</v>
          </cell>
        </row>
        <row r="137">
          <cell r="H137" t="str">
            <v>Manufacturer / Model:</v>
          </cell>
        </row>
        <row r="138">
          <cell r="H138" t="str">
            <v>Serial Number:</v>
          </cell>
        </row>
        <row r="142">
          <cell r="B142" t="str">
            <v>Date:</v>
          </cell>
          <cell r="C142" t="str">
            <v/>
          </cell>
          <cell r="I142" t="str">
            <v>Location:</v>
          </cell>
          <cell r="J142" t="str">
            <v/>
          </cell>
        </row>
        <row r="143">
          <cell r="B143" t="str">
            <v>Medical Physicist:</v>
          </cell>
          <cell r="C143" t="str">
            <v/>
          </cell>
          <cell r="I143" t="str">
            <v>System Identification:</v>
          </cell>
          <cell r="J143" t="str">
            <v/>
          </cell>
        </row>
        <row r="144">
          <cell r="K144">
            <v>0</v>
          </cell>
        </row>
        <row r="145">
          <cell r="K145" t="str">
            <v>CR Reader and Screens</v>
          </cell>
        </row>
        <row r="146">
          <cell r="F146" t="str">
            <v>Inspection Results Summary</v>
          </cell>
        </row>
        <row r="149">
          <cell r="I149" t="str">
            <v>Acceptable</v>
          </cell>
        </row>
        <row r="150">
          <cell r="A150" t="str">
            <v>1.</v>
          </cell>
          <cell r="B150" t="str">
            <v>Physical Inspection - Inventory</v>
          </cell>
          <cell r="I150" t="str">
            <v>Yes</v>
          </cell>
        </row>
        <row r="151">
          <cell r="A151" t="str">
            <v>2.</v>
          </cell>
          <cell r="B151" t="str">
            <v>Imaging Plate Uniformity and Dark Noise</v>
          </cell>
          <cell r="I151" t="str">
            <v>Yes</v>
          </cell>
        </row>
        <row r="152">
          <cell r="A152" t="str">
            <v>3.</v>
          </cell>
          <cell r="B152" t="str">
            <v>Signal Response: Linearity and Slope</v>
          </cell>
          <cell r="I152" t="str">
            <v>No</v>
          </cell>
        </row>
        <row r="153">
          <cell r="A153" t="str">
            <v>4.</v>
          </cell>
          <cell r="B153" t="str">
            <v>Signal Response: Calibration and Beam Quality</v>
          </cell>
          <cell r="I153" t="str">
            <v>Yes</v>
          </cell>
        </row>
        <row r="154">
          <cell r="A154" t="str">
            <v>5.</v>
          </cell>
          <cell r="B154" t="str">
            <v>Laser Beam Function</v>
          </cell>
          <cell r="I154" t="str">
            <v>Yes</v>
          </cell>
        </row>
        <row r="155">
          <cell r="A155" t="str">
            <v>6.</v>
          </cell>
          <cell r="B155" t="str">
            <v>High-Contrast Resolution</v>
          </cell>
          <cell r="I155" t="str">
            <v>No</v>
          </cell>
        </row>
        <row r="156">
          <cell r="A156" t="str">
            <v>7.</v>
          </cell>
          <cell r="B156" t="str">
            <v>Noise/Low-Contrast Response</v>
          </cell>
          <cell r="I156" t="str">
            <v>Yes</v>
          </cell>
        </row>
        <row r="157">
          <cell r="A157" t="str">
            <v>8.</v>
          </cell>
          <cell r="B157" t="str">
            <v>Distortion</v>
          </cell>
          <cell r="I157" t="str">
            <v>Yes</v>
          </cell>
        </row>
        <row r="158">
          <cell r="A158" t="str">
            <v>9.</v>
          </cell>
          <cell r="B158" t="str">
            <v>Erasure Thoroughness</v>
          </cell>
          <cell r="I158" t="str">
            <v>Yes*</v>
          </cell>
        </row>
        <row r="159">
          <cell r="A159" t="str">
            <v>10.</v>
          </cell>
          <cell r="B159" t="str">
            <v>Anti-Aliasing</v>
          </cell>
          <cell r="I159" t="str">
            <v>Yes</v>
          </cell>
        </row>
        <row r="160">
          <cell r="A160" t="str">
            <v>11.</v>
          </cell>
          <cell r="B160" t="str">
            <v>Positioning and Collimation Errors</v>
          </cell>
          <cell r="I160" t="str">
            <v>Yes</v>
          </cell>
        </row>
        <row r="161">
          <cell r="A161" t="str">
            <v>12.</v>
          </cell>
          <cell r="B161" t="str">
            <v>Throughput</v>
          </cell>
          <cell r="I161" t="str">
            <v>Yes</v>
          </cell>
        </row>
        <row r="163">
          <cell r="B163" t="str">
            <v>Comments:</v>
          </cell>
        </row>
        <row r="164">
          <cell r="A164" t="str">
            <v>1.</v>
          </cell>
          <cell r="B164" t="str">
            <v/>
          </cell>
        </row>
        <row r="165">
          <cell r="B165" t="str">
            <v/>
          </cell>
        </row>
        <row r="167">
          <cell r="A167" t="str">
            <v>2.</v>
          </cell>
          <cell r="B167" t="str">
            <v/>
          </cell>
        </row>
        <row r="168">
          <cell r="B168" t="str">
            <v/>
          </cell>
        </row>
        <row r="170">
          <cell r="A170" t="str">
            <v>3.</v>
          </cell>
          <cell r="B170" t="str">
            <v/>
          </cell>
        </row>
        <row r="171">
          <cell r="B171" t="str">
            <v/>
          </cell>
        </row>
        <row r="172">
          <cell r="B172" t="str">
            <v/>
          </cell>
        </row>
        <row r="173">
          <cell r="A173" t="str">
            <v>4.</v>
          </cell>
          <cell r="B173" t="str">
            <v/>
          </cell>
        </row>
        <row r="174">
          <cell r="B174" t="str">
            <v/>
          </cell>
        </row>
        <row r="176">
          <cell r="A176" t="str">
            <v>5.</v>
          </cell>
          <cell r="B176" t="str">
            <v/>
          </cell>
        </row>
        <row r="177">
          <cell r="B177" t="str">
            <v/>
          </cell>
        </row>
        <row r="179">
          <cell r="A179" t="str">
            <v>6.</v>
          </cell>
          <cell r="B179" t="str">
            <v/>
          </cell>
        </row>
        <row r="180">
          <cell r="B180" t="str">
            <v/>
          </cell>
        </row>
        <row r="182">
          <cell r="A182" t="str">
            <v>7.</v>
          </cell>
          <cell r="B182" t="str">
            <v/>
          </cell>
        </row>
        <row r="183">
          <cell r="B183" t="str">
            <v/>
          </cell>
        </row>
        <row r="185">
          <cell r="A185" t="str">
            <v>8.</v>
          </cell>
          <cell r="B185" t="str">
            <v/>
          </cell>
        </row>
        <row r="186">
          <cell r="B186" t="str">
            <v/>
          </cell>
        </row>
        <row r="188">
          <cell r="A188" t="str">
            <v>9.</v>
          </cell>
          <cell r="B188" t="str">
            <v>*Secondary erasure is not recommended. A shadow of the object was visible after a secondary erasure.</v>
          </cell>
        </row>
        <row r="189">
          <cell r="B189" t="str">
            <v/>
          </cell>
        </row>
        <row r="191">
          <cell r="A191" t="str">
            <v>10.</v>
          </cell>
          <cell r="B191" t="str">
            <v/>
          </cell>
        </row>
        <row r="192">
          <cell r="B192" t="str">
            <v/>
          </cell>
        </row>
        <row r="194">
          <cell r="A194" t="str">
            <v>11.</v>
          </cell>
          <cell r="B194" t="str">
            <v/>
          </cell>
        </row>
        <row r="195">
          <cell r="B195" t="str">
            <v/>
          </cell>
        </row>
        <row r="197">
          <cell r="A197" t="str">
            <v>12.</v>
          </cell>
          <cell r="B197" t="str">
            <v/>
          </cell>
        </row>
        <row r="198">
          <cell r="B198" t="str">
            <v/>
          </cell>
        </row>
        <row r="200">
          <cell r="A200" t="str">
            <v>Other:</v>
          </cell>
        </row>
        <row r="205">
          <cell r="B205" t="str">
            <v>Date:</v>
          </cell>
          <cell r="C205" t="str">
            <v/>
          </cell>
          <cell r="I205" t="str">
            <v>Location:</v>
          </cell>
          <cell r="J205" t="str">
            <v/>
          </cell>
        </row>
        <row r="206">
          <cell r="B206" t="str">
            <v>Medical Physicist:</v>
          </cell>
          <cell r="C206" t="str">
            <v/>
          </cell>
          <cell r="I206" t="str">
            <v>System Identification:</v>
          </cell>
          <cell r="J206" t="str">
            <v/>
          </cell>
        </row>
        <row r="208">
          <cell r="K208">
            <v>0</v>
          </cell>
        </row>
        <row r="209">
          <cell r="K209" t="str">
            <v>CR Reader and Screens</v>
          </cell>
        </row>
        <row r="210">
          <cell r="F210" t="str">
            <v>Physical Inspection - Inventory</v>
          </cell>
        </row>
        <row r="214">
          <cell r="B214" t="str">
            <v>Note:</v>
          </cell>
          <cell r="C214" t="str">
            <v>Check all the components of the system against the Purchase Order.</v>
          </cell>
        </row>
        <row r="218">
          <cell r="E218" t="str">
            <v xml:space="preserve">Properly </v>
          </cell>
          <cell r="F218" t="str">
            <v>Free from</v>
          </cell>
        </row>
        <row r="219">
          <cell r="B219" t="str">
            <v>Purchase Order Item</v>
          </cell>
          <cell r="E219" t="str">
            <v>Installed?</v>
          </cell>
          <cell r="F219" t="str">
            <v>Defects</v>
          </cell>
          <cell r="G219" t="str">
            <v>If No, Explain</v>
          </cell>
        </row>
        <row r="220">
          <cell r="B220" t="str">
            <v>AC3-CS reader</v>
          </cell>
          <cell r="E220" t="str">
            <v>Yes</v>
          </cell>
          <cell r="F220" t="str">
            <v>Yes</v>
          </cell>
        </row>
        <row r="221">
          <cell r="B221" t="str">
            <v>Imation Dryview 8700 printer</v>
          </cell>
          <cell r="E221" t="str">
            <v>Yes</v>
          </cell>
          <cell r="F221" t="str">
            <v>Yes</v>
          </cell>
        </row>
        <row r="222">
          <cell r="B222" t="str">
            <v>ID Gateway</v>
          </cell>
          <cell r="E222" t="str">
            <v>Yes</v>
          </cell>
          <cell r="F222" t="str">
            <v>Yes</v>
          </cell>
        </row>
        <row r="223">
          <cell r="B223" t="str">
            <v>ID Monitor</v>
          </cell>
          <cell r="E223" t="str">
            <v>Yes</v>
          </cell>
          <cell r="F223" t="str">
            <v>Yes</v>
          </cell>
        </row>
        <row r="224">
          <cell r="B224" t="str">
            <v>ID Terminal Keyboard</v>
          </cell>
          <cell r="E224" t="str">
            <v>Yes</v>
          </cell>
          <cell r="F224" t="str">
            <v>Yes</v>
          </cell>
        </row>
        <row r="225">
          <cell r="B225" t="str">
            <v>Magnetic writer</v>
          </cell>
          <cell r="E225" t="str">
            <v>Yes</v>
          </cell>
          <cell r="F225" t="str">
            <v>Yes</v>
          </cell>
        </row>
        <row r="226">
          <cell r="B226" t="str">
            <v>Bar reader</v>
          </cell>
          <cell r="E226" t="str">
            <v>Yes</v>
          </cell>
          <cell r="F226" t="str">
            <v>Yes</v>
          </cell>
        </row>
        <row r="227">
          <cell r="B227" t="str">
            <v>HIC-654 Workstation</v>
          </cell>
          <cell r="E227" t="str">
            <v>Yes</v>
          </cell>
          <cell r="F227" t="str">
            <v>Yes</v>
          </cell>
        </row>
        <row r="228">
          <cell r="B228" t="str">
            <v>HIC-654 Monitor</v>
          </cell>
          <cell r="E228" t="str">
            <v>Yes</v>
          </cell>
          <cell r="F228" t="str">
            <v>Yes</v>
          </cell>
        </row>
        <row r="229">
          <cell r="B229" t="str">
            <v>HIC-654 keyboard</v>
          </cell>
          <cell r="E229" t="str">
            <v>Yes</v>
          </cell>
          <cell r="F229" t="str">
            <v>Yes</v>
          </cell>
        </row>
        <row r="230">
          <cell r="B230" t="str">
            <v>Analogic Dasm</v>
          </cell>
          <cell r="E230" t="str">
            <v>Yes</v>
          </cell>
          <cell r="F230" t="str">
            <v>Yes</v>
          </cell>
        </row>
        <row r="231">
          <cell r="B231" t="str">
            <v>Analogic/Sun Gateway</v>
          </cell>
          <cell r="E231" t="str">
            <v>Yes</v>
          </cell>
          <cell r="F231" t="str">
            <v>Yes</v>
          </cell>
        </row>
        <row r="232">
          <cell r="B232" t="str">
            <v>Analogic Gateway monitor</v>
          </cell>
          <cell r="E232" t="str">
            <v>Yes</v>
          </cell>
          <cell r="F232" t="str">
            <v>Yes</v>
          </cell>
        </row>
        <row r="233">
          <cell r="B233" t="str">
            <v>Analogic Gateway keyboard</v>
          </cell>
          <cell r="E233" t="str">
            <v>Yes</v>
          </cell>
          <cell r="F233" t="str">
            <v>Yes</v>
          </cell>
        </row>
        <row r="234">
          <cell r="B234" t="str">
            <v>Analogic Gateway hard-drive</v>
          </cell>
          <cell r="E234" t="str">
            <v>Yes</v>
          </cell>
          <cell r="F234" t="str">
            <v>Yes</v>
          </cell>
        </row>
        <row r="259">
          <cell r="B259" t="str">
            <v>Criteria:</v>
          </cell>
          <cell r="C259" t="str">
            <v>All the components should be free of defects and properly installed.</v>
          </cell>
        </row>
        <row r="261">
          <cell r="H261" t="str">
            <v>Acceptable:</v>
          </cell>
          <cell r="J261" t="str">
            <v>Yes</v>
          </cell>
        </row>
        <row r="263">
          <cell r="B263" t="str">
            <v>Comments:</v>
          </cell>
        </row>
        <row r="269">
          <cell r="B269" t="str">
            <v>Date:</v>
          </cell>
          <cell r="C269" t="str">
            <v/>
          </cell>
          <cell r="I269" t="str">
            <v>Location:</v>
          </cell>
          <cell r="J269" t="str">
            <v/>
          </cell>
        </row>
        <row r="270">
          <cell r="B270" t="str">
            <v>Medical Physicist:</v>
          </cell>
          <cell r="C270" t="str">
            <v/>
          </cell>
          <cell r="I270" t="str">
            <v>System Identification:</v>
          </cell>
          <cell r="J270" t="str">
            <v/>
          </cell>
        </row>
        <row r="272">
          <cell r="K272">
            <v>0</v>
          </cell>
        </row>
        <row r="273">
          <cell r="K273" t="str">
            <v>CR Reader and Screens</v>
          </cell>
        </row>
        <row r="274">
          <cell r="F274" t="str">
            <v>Imaging Plate Uniformity and Dark Noise</v>
          </cell>
        </row>
        <row r="277">
          <cell r="B277" t="str">
            <v>Note:</v>
          </cell>
          <cell r="C277" t="str">
            <v>Erase all the plates before testing.</v>
          </cell>
        </row>
        <row r="278">
          <cell r="C278" t="str">
            <v>Pixel values and SD calculated in a central rectangular box covering 80% of the image.</v>
          </cell>
        </row>
        <row r="279">
          <cell r="C279" t="str">
            <v>The ODs are measured at the center and the center of 4 quadrants.</v>
          </cell>
        </row>
        <row r="281">
          <cell r="B281" t="str">
            <v>Dark Noise</v>
          </cell>
          <cell r="E281" t="str">
            <v>Uniformity</v>
          </cell>
          <cell r="H281" t="str">
            <v>Hard-Copy Parameters</v>
          </cell>
        </row>
        <row r="282">
          <cell r="B282" t="str">
            <v>Menu = TEST</v>
          </cell>
          <cell r="E282" t="str">
            <v>Menu = TEST</v>
          </cell>
          <cell r="H282" t="str">
            <v>Base+Fog OD</v>
          </cell>
          <cell r="J282">
            <v>0.23</v>
          </cell>
        </row>
        <row r="283">
          <cell r="B283" t="str">
            <v>SubMenu = Sensitivity</v>
          </cell>
          <cell r="E283" t="str">
            <v>SubMenu = AVE 1.0</v>
          </cell>
          <cell r="H283" t="str">
            <v>OD/PV Gamma</v>
          </cell>
          <cell r="J283">
            <v>3.4497070312500002E-3</v>
          </cell>
        </row>
        <row r="284">
          <cell r="B284" t="str">
            <v>L= 1, EDR = fix 2005</v>
          </cell>
          <cell r="E284" t="str">
            <v>L= 1, EDR = semi</v>
          </cell>
        </row>
        <row r="285">
          <cell r="A285" t="str">
            <v>DARK NOISE</v>
          </cell>
        </row>
        <row r="286">
          <cell r="B286" t="str">
            <v>Cassette</v>
          </cell>
          <cell r="C286" t="str">
            <v>Cassette Serial</v>
          </cell>
          <cell r="E286" t="str">
            <v>Artifacts</v>
          </cell>
          <cell r="F286" t="str">
            <v>If No,</v>
          </cell>
          <cell r="G286" t="str">
            <v>Average</v>
          </cell>
          <cell r="H286" t="str">
            <v>Standard</v>
          </cell>
          <cell r="I286" t="str">
            <v>NA</v>
          </cell>
          <cell r="J286" t="str">
            <v>NA</v>
          </cell>
          <cell r="K286" t="str">
            <v>Acceptable</v>
          </cell>
        </row>
        <row r="287">
          <cell r="B287" t="str">
            <v>Type/Size</v>
          </cell>
          <cell r="C287" t="str">
            <v>Number</v>
          </cell>
          <cell r="E287" t="str">
            <v>Free? (Y/N)</v>
          </cell>
          <cell r="F287" t="str">
            <v>Specify</v>
          </cell>
          <cell r="G287" t="str">
            <v>OD</v>
          </cell>
          <cell r="H287" t="str">
            <v>Deviation</v>
          </cell>
          <cell r="I287" t="str">
            <v>NA</v>
          </cell>
          <cell r="J287" t="str">
            <v>NA</v>
          </cell>
          <cell r="K287" t="str">
            <v>(yes/no)</v>
          </cell>
        </row>
        <row r="288">
          <cell r="B288" t="str">
            <v>ST 14x17</v>
          </cell>
          <cell r="E288" t="str">
            <v>Y</v>
          </cell>
          <cell r="G288">
            <v>0.23199999999999998</v>
          </cell>
          <cell r="H288">
            <v>4.4721359550002641E-3</v>
          </cell>
          <cell r="I288">
            <v>101</v>
          </cell>
          <cell r="K288" t="str">
            <v>Yes</v>
          </cell>
        </row>
        <row r="289">
          <cell r="B289" t="str">
            <v>ST 10x12</v>
          </cell>
          <cell r="E289" t="str">
            <v>Y</v>
          </cell>
          <cell r="G289">
            <v>0.23599999999999999</v>
          </cell>
          <cell r="H289">
            <v>5.477225575051866E-3</v>
          </cell>
          <cell r="K289" t="str">
            <v>Yes</v>
          </cell>
        </row>
        <row r="290">
          <cell r="B290" t="str">
            <v>ST 8x10</v>
          </cell>
          <cell r="E290" t="str">
            <v>Y</v>
          </cell>
          <cell r="G290">
            <v>0.23799999999999999</v>
          </cell>
          <cell r="H290">
            <v>4.4721359550002641E-3</v>
          </cell>
          <cell r="K290" t="str">
            <v>Yes</v>
          </cell>
        </row>
        <row r="291">
          <cell r="A291" t="str">
            <v>UNIFORMITY</v>
          </cell>
        </row>
        <row r="292">
          <cell r="B292" t="str">
            <v>kVp</v>
          </cell>
          <cell r="C292" t="str">
            <v>Filtration</v>
          </cell>
          <cell r="D292" t="str">
            <v>Focal spot</v>
          </cell>
          <cell r="E292" t="str">
            <v>Time delay</v>
          </cell>
          <cell r="F292" t="str">
            <v>SID (cm)</v>
          </cell>
          <cell r="G292" t="str">
            <v>SMD (cm)</v>
          </cell>
          <cell r="H292" t="str">
            <v>Nom. mR</v>
          </cell>
          <cell r="I292" t="str">
            <v>mAs</v>
          </cell>
          <cell r="J292" t="str">
            <v>mR-meter</v>
          </cell>
          <cell r="K292" t="str">
            <v>mR-IP</v>
          </cell>
        </row>
        <row r="293">
          <cell r="B293">
            <v>80</v>
          </cell>
          <cell r="C293" t="str">
            <v>1 Al/0.5 Cu</v>
          </cell>
          <cell r="D293" t="str">
            <v>1.2 mm</v>
          </cell>
          <cell r="E293" t="str">
            <v>~ 6 min</v>
          </cell>
          <cell r="F293">
            <v>140</v>
          </cell>
          <cell r="G293">
            <v>130</v>
          </cell>
          <cell r="H293">
            <v>10</v>
          </cell>
          <cell r="I293">
            <v>10</v>
          </cell>
          <cell r="J293">
            <v>0.4</v>
          </cell>
          <cell r="K293">
            <v>0.3448979591836735</v>
          </cell>
        </row>
        <row r="295">
          <cell r="A295" t="str">
            <v>Cassette</v>
          </cell>
          <cell r="B295" t="str">
            <v>Cassette Serial</v>
          </cell>
          <cell r="D295" t="str">
            <v>Defect</v>
          </cell>
          <cell r="E295" t="str">
            <v>If No,</v>
          </cell>
          <cell r="F295" t="str">
            <v>S</v>
          </cell>
          <cell r="G295" t="str">
            <v>Average</v>
          </cell>
          <cell r="H295" t="str">
            <v>Standard</v>
          </cell>
          <cell r="I295" t="str">
            <v>NA</v>
          </cell>
          <cell r="J295" t="str">
            <v>NA</v>
          </cell>
          <cell r="K295" t="str">
            <v>Acceptable</v>
          </cell>
        </row>
        <row r="296">
          <cell r="A296" t="str">
            <v>Type/Size</v>
          </cell>
          <cell r="B296" t="str">
            <v>Number</v>
          </cell>
          <cell r="D296" t="str">
            <v>Free? (Y/N)</v>
          </cell>
          <cell r="E296" t="str">
            <v>Specify</v>
          </cell>
          <cell r="F296" t="str">
            <v/>
          </cell>
          <cell r="G296" t="str">
            <v>OD</v>
          </cell>
          <cell r="H296" t="str">
            <v>Deviation</v>
          </cell>
          <cell r="I296" t="str">
            <v>NA</v>
          </cell>
          <cell r="J296" t="str">
            <v>NA</v>
          </cell>
          <cell r="K296" t="str">
            <v>(yes/no)</v>
          </cell>
        </row>
        <row r="297">
          <cell r="A297" t="str">
            <v>ST 14x17</v>
          </cell>
          <cell r="D297" t="str">
            <v>Y</v>
          </cell>
          <cell r="F297">
            <v>14</v>
          </cell>
          <cell r="G297">
            <v>1.4439999999999997</v>
          </cell>
          <cell r="H297">
            <v>3.2093613071777612E-2</v>
          </cell>
          <cell r="K297" t="str">
            <v>Yes</v>
          </cell>
        </row>
        <row r="298">
          <cell r="A298" t="str">
            <v>ST 14x17</v>
          </cell>
          <cell r="D298" t="str">
            <v>Y</v>
          </cell>
          <cell r="F298">
            <v>13</v>
          </cell>
          <cell r="G298">
            <v>1.472</v>
          </cell>
          <cell r="H298">
            <v>3.5637059362415499E-2</v>
          </cell>
          <cell r="K298" t="str">
            <v>Yes</v>
          </cell>
        </row>
        <row r="299">
          <cell r="A299" t="str">
            <v>ST 14x17</v>
          </cell>
          <cell r="D299" t="str">
            <v>Y</v>
          </cell>
          <cell r="F299">
            <v>14</v>
          </cell>
          <cell r="G299">
            <v>1.46</v>
          </cell>
          <cell r="H299">
            <v>3.8078865529321819E-2</v>
          </cell>
          <cell r="K299" t="str">
            <v>Yes</v>
          </cell>
        </row>
        <row r="300">
          <cell r="A300" t="str">
            <v>ST 14x17</v>
          </cell>
          <cell r="D300" t="str">
            <v>Y</v>
          </cell>
          <cell r="F300">
            <v>14</v>
          </cell>
          <cell r="G300">
            <v>1.3980000000000001</v>
          </cell>
          <cell r="H300">
            <v>5.9329587896761286E-2</v>
          </cell>
          <cell r="K300" t="str">
            <v>Yes</v>
          </cell>
        </row>
        <row r="301">
          <cell r="G301" t="str">
            <v/>
          </cell>
          <cell r="H301" t="str">
            <v/>
          </cell>
          <cell r="K301" t="str">
            <v/>
          </cell>
        </row>
        <row r="302">
          <cell r="A302" t="str">
            <v>ST 10x12</v>
          </cell>
          <cell r="D302" t="str">
            <v>Y</v>
          </cell>
          <cell r="F302">
            <v>13</v>
          </cell>
          <cell r="G302">
            <v>1.4259999999999999</v>
          </cell>
          <cell r="H302">
            <v>5.9413803110052073E-2</v>
          </cell>
          <cell r="K302" t="str">
            <v>Yes</v>
          </cell>
        </row>
        <row r="303">
          <cell r="A303" t="str">
            <v>ST 10x12</v>
          </cell>
          <cell r="D303" t="str">
            <v>Y</v>
          </cell>
          <cell r="F303">
            <v>13</v>
          </cell>
          <cell r="G303">
            <v>1.4759999999999998</v>
          </cell>
          <cell r="H303">
            <v>3.2093613071777612E-2</v>
          </cell>
          <cell r="K303" t="str">
            <v>Yes</v>
          </cell>
        </row>
        <row r="304">
          <cell r="A304" t="str">
            <v>ST 10x12</v>
          </cell>
          <cell r="D304" t="str">
            <v>Y</v>
          </cell>
          <cell r="F304">
            <v>13</v>
          </cell>
          <cell r="G304">
            <v>1.4359999999999999</v>
          </cell>
          <cell r="H304">
            <v>5.5045435778086287E-2</v>
          </cell>
          <cell r="K304" t="str">
            <v>Yes</v>
          </cell>
        </row>
        <row r="305">
          <cell r="A305" t="str">
            <v>ST 10x12</v>
          </cell>
          <cell r="D305" t="str">
            <v>Y</v>
          </cell>
          <cell r="F305">
            <v>14</v>
          </cell>
          <cell r="G305">
            <v>1.4599999999999997</v>
          </cell>
          <cell r="H305">
            <v>4.4158804331643091E-2</v>
          </cell>
          <cell r="K305" t="str">
            <v>Yes</v>
          </cell>
        </row>
        <row r="306">
          <cell r="G306" t="str">
            <v/>
          </cell>
          <cell r="H306" t="str">
            <v/>
          </cell>
          <cell r="K306" t="str">
            <v/>
          </cell>
        </row>
        <row r="307">
          <cell r="A307" t="str">
            <v>ST 8x10</v>
          </cell>
          <cell r="D307" t="str">
            <v>Y</v>
          </cell>
          <cell r="F307">
            <v>13</v>
          </cell>
          <cell r="G307">
            <v>1.458</v>
          </cell>
          <cell r="H307">
            <v>6.0580524923440682E-2</v>
          </cell>
          <cell r="K307" t="str">
            <v>Yes</v>
          </cell>
        </row>
        <row r="308">
          <cell r="A308" t="str">
            <v>ST 8x10</v>
          </cell>
          <cell r="D308" t="str">
            <v>Y</v>
          </cell>
          <cell r="F308">
            <v>14</v>
          </cell>
          <cell r="G308">
            <v>1.4940000000000002</v>
          </cell>
          <cell r="H308">
            <v>7.1972216861784524E-2</v>
          </cell>
          <cell r="K308" t="str">
            <v>Yes</v>
          </cell>
        </row>
        <row r="309">
          <cell r="A309" t="str">
            <v>ST 8x10</v>
          </cell>
          <cell r="D309" t="str">
            <v>Y</v>
          </cell>
          <cell r="F309">
            <v>14</v>
          </cell>
          <cell r="G309">
            <v>1.54</v>
          </cell>
          <cell r="H309">
            <v>4.1833001326708107E-2</v>
          </cell>
          <cell r="K309" t="str">
            <v>Yes</v>
          </cell>
        </row>
        <row r="310">
          <cell r="A310" t="str">
            <v>ST 8x10</v>
          </cell>
          <cell r="D310" t="str">
            <v>Y</v>
          </cell>
          <cell r="F310">
            <v>14</v>
          </cell>
          <cell r="G310">
            <v>1.482</v>
          </cell>
          <cell r="H310">
            <v>4.7644516998279332E-2</v>
          </cell>
          <cell r="K310" t="str">
            <v>Yes</v>
          </cell>
        </row>
        <row r="311">
          <cell r="A311" t="str">
            <v>ST 8x10</v>
          </cell>
          <cell r="D311" t="str">
            <v>Y</v>
          </cell>
          <cell r="F311">
            <v>13</v>
          </cell>
          <cell r="G311">
            <v>1.502</v>
          </cell>
          <cell r="H311">
            <v>5.8906705900097049E-2</v>
          </cell>
          <cell r="K311" t="str">
            <v>Yes</v>
          </cell>
        </row>
        <row r="312">
          <cell r="G312" t="str">
            <v/>
          </cell>
          <cell r="H312" t="str">
            <v/>
          </cell>
          <cell r="K312" t="str">
            <v/>
          </cell>
        </row>
        <row r="313">
          <cell r="A313" t="str">
            <v/>
          </cell>
          <cell r="G313" t="str">
            <v/>
          </cell>
          <cell r="H313" t="str">
            <v/>
          </cell>
          <cell r="K313" t="str">
            <v/>
          </cell>
        </row>
        <row r="314">
          <cell r="G314" t="str">
            <v/>
          </cell>
          <cell r="H314" t="str">
            <v/>
          </cell>
          <cell r="K314" t="str">
            <v/>
          </cell>
        </row>
        <row r="315">
          <cell r="A315" t="str">
            <v/>
          </cell>
          <cell r="G315" t="str">
            <v/>
          </cell>
          <cell r="H315" t="str">
            <v/>
          </cell>
          <cell r="K315" t="str">
            <v/>
          </cell>
        </row>
        <row r="316">
          <cell r="G316" t="str">
            <v/>
          </cell>
          <cell r="H316" t="str">
            <v/>
          </cell>
          <cell r="K316" t="str">
            <v/>
          </cell>
        </row>
        <row r="317">
          <cell r="G317" t="str">
            <v/>
          </cell>
          <cell r="H317" t="str">
            <v/>
          </cell>
          <cell r="K317" t="str">
            <v/>
          </cell>
        </row>
        <row r="318">
          <cell r="G318" t="str">
            <v/>
          </cell>
          <cell r="H318" t="str">
            <v/>
          </cell>
          <cell r="K318" t="str">
            <v/>
          </cell>
        </row>
        <row r="319">
          <cell r="E319" t="str">
            <v>Mean:</v>
          </cell>
          <cell r="F319">
            <v>13.538461538461538</v>
          </cell>
          <cell r="G319">
            <v>1.4652307692307689</v>
          </cell>
          <cell r="I319" t="str">
            <v>NA</v>
          </cell>
        </row>
        <row r="320">
          <cell r="E320" t="str">
            <v>SD/Mean:</v>
          </cell>
          <cell r="F320">
            <v>3.8325958986453627E-2</v>
          </cell>
          <cell r="G320">
            <v>2.4673799067082176E-2</v>
          </cell>
          <cell r="I320" t="str">
            <v>NA</v>
          </cell>
          <cell r="J320" t="str">
            <v>%</v>
          </cell>
        </row>
        <row r="322">
          <cell r="B322" t="str">
            <v>Criteria:</v>
          </cell>
          <cell r="C322" t="str">
            <v>DARK NOISE: Max. avg. OD &lt; 0.05+base+fog (SD &lt; 0.01).</v>
          </cell>
        </row>
        <row r="323">
          <cell r="C323" t="str">
            <v>UNIFORMITY: Max. OD difference from Avg. &lt; 0.146 (SD &lt; 0.073).</v>
          </cell>
        </row>
        <row r="324">
          <cell r="C324" t="str">
            <v>No pattern should be visible in either tests.</v>
          </cell>
        </row>
        <row r="325">
          <cell r="C325" t="str">
            <v>Plate-to-plate response within 0.1 for S/EI and 0.1 for OD/PV.</v>
          </cell>
        </row>
        <row r="328">
          <cell r="H328" t="str">
            <v>Acceptable:</v>
          </cell>
          <cell r="J328" t="str">
            <v>Yes</v>
          </cell>
        </row>
        <row r="329">
          <cell r="B329" t="str">
            <v>Comments:</v>
          </cell>
        </row>
        <row r="333">
          <cell r="B333" t="str">
            <v>Date:</v>
          </cell>
          <cell r="C333" t="str">
            <v/>
          </cell>
          <cell r="I333" t="str">
            <v>Location:</v>
          </cell>
          <cell r="J333" t="str">
            <v/>
          </cell>
        </row>
        <row r="334">
          <cell r="B334" t="str">
            <v>Medical Physicist:</v>
          </cell>
          <cell r="C334" t="str">
            <v/>
          </cell>
          <cell r="I334" t="str">
            <v>System Identification:</v>
          </cell>
          <cell r="J334" t="str">
            <v/>
          </cell>
        </row>
        <row r="336">
          <cell r="K336">
            <v>0</v>
          </cell>
        </row>
        <row r="337">
          <cell r="K337" t="str">
            <v>CR Reader and Screens</v>
          </cell>
        </row>
        <row r="338">
          <cell r="F338" t="str">
            <v>Signal Response: Linearity and Slope</v>
          </cell>
        </row>
        <row r="342">
          <cell r="B342" t="str">
            <v>Note:</v>
          </cell>
          <cell r="C342" t="str">
            <v>Use a consistent time delay before reading the plates.</v>
          </cell>
        </row>
        <row r="343">
          <cell r="H343" t="str">
            <v>Exposure Measurements</v>
          </cell>
        </row>
        <row r="344">
          <cell r="H344" t="str">
            <v>Nom. mR</v>
          </cell>
          <cell r="I344" t="str">
            <v>mAs</v>
          </cell>
          <cell r="J344" t="str">
            <v>mR-meter</v>
          </cell>
          <cell r="K344" t="str">
            <v>mR-IP</v>
          </cell>
        </row>
        <row r="345">
          <cell r="H345">
            <v>0.1</v>
          </cell>
          <cell r="I345">
            <v>1.25</v>
          </cell>
          <cell r="J345">
            <v>0.12</v>
          </cell>
          <cell r="K345">
            <v>0.10346938775510203</v>
          </cell>
        </row>
        <row r="346">
          <cell r="A346" t="str">
            <v>kVp</v>
          </cell>
          <cell r="B346" t="str">
            <v>Filtration</v>
          </cell>
          <cell r="C346" t="str">
            <v>Focal spot</v>
          </cell>
          <cell r="D346" t="str">
            <v>Time delay</v>
          </cell>
          <cell r="E346" t="str">
            <v>SID (cm)</v>
          </cell>
          <cell r="F346" t="str">
            <v>SMD (cm)</v>
          </cell>
          <cell r="H346">
            <v>1</v>
          </cell>
          <cell r="I346">
            <v>4.5</v>
          </cell>
          <cell r="J346">
            <v>1.06</v>
          </cell>
          <cell r="K346">
            <v>0.91397959183673472</v>
          </cell>
        </row>
        <row r="347">
          <cell r="A347">
            <v>80</v>
          </cell>
          <cell r="B347" t="str">
            <v>1 Al/0.5 Cu</v>
          </cell>
          <cell r="C347">
            <v>1.2</v>
          </cell>
          <cell r="D347" t="str">
            <v>~ 2 min</v>
          </cell>
          <cell r="E347">
            <v>140</v>
          </cell>
          <cell r="F347">
            <v>130</v>
          </cell>
          <cell r="H347">
            <v>10</v>
          </cell>
          <cell r="I347">
            <v>30</v>
          </cell>
          <cell r="J347">
            <v>11.68</v>
          </cell>
          <cell r="K347">
            <v>10.071020408163266</v>
          </cell>
        </row>
        <row r="350">
          <cell r="A350" t="str">
            <v>IP Type:</v>
          </cell>
          <cell r="B350" t="str">
            <v>ST 14x17</v>
          </cell>
          <cell r="D350" t="str">
            <v>Menu = TEST</v>
          </cell>
          <cell r="F350" t="str">
            <v>Menu = TEST</v>
          </cell>
          <cell r="H350" t="str">
            <v>Menu = TEST</v>
          </cell>
          <cell r="J350" t="str">
            <v>Menu = TEST</v>
          </cell>
        </row>
        <row r="351">
          <cell r="A351" t="str">
            <v>IP SN:</v>
          </cell>
          <cell r="B351" t="str">
            <v>Variable</v>
          </cell>
          <cell r="D351" t="str">
            <v>SubMenu = AVE 4.0</v>
          </cell>
          <cell r="F351" t="str">
            <v>SubMenu = AVE 4.0</v>
          </cell>
          <cell r="H351" t="str">
            <v>SubMenu = AVE 2.0</v>
          </cell>
          <cell r="J351" t="str">
            <v>SubMenu = AVE 2.0</v>
          </cell>
        </row>
        <row r="352">
          <cell r="D352" t="str">
            <v>L= 4, EDR = semi</v>
          </cell>
          <cell r="F352" t="str">
            <v>L= 4, EDR = fix 200</v>
          </cell>
          <cell r="H352" t="str">
            <v>L= 2, EDR = semi</v>
          </cell>
          <cell r="J352" t="str">
            <v>L= 2, EDR = fix 200</v>
          </cell>
        </row>
        <row r="353">
          <cell r="B353" t="str">
            <v>mAs</v>
          </cell>
          <cell r="C353" t="str">
            <v>mR-IP</v>
          </cell>
          <cell r="D353" t="str">
            <v>S</v>
          </cell>
          <cell r="E353" t="str">
            <v>OD</v>
          </cell>
          <cell r="F353" t="str">
            <v>S</v>
          </cell>
          <cell r="G353" t="str">
            <v>OD</v>
          </cell>
          <cell r="H353" t="str">
            <v>S</v>
          </cell>
          <cell r="I353" t="str">
            <v>OD</v>
          </cell>
          <cell r="J353" t="str">
            <v>S</v>
          </cell>
          <cell r="K353" t="str">
            <v>OD</v>
          </cell>
        </row>
        <row r="354">
          <cell r="B354">
            <v>1.25</v>
          </cell>
          <cell r="C354">
            <v>0.10346938775510203</v>
          </cell>
          <cell r="D354">
            <v>382</v>
          </cell>
          <cell r="E354">
            <v>1.4</v>
          </cell>
          <cell r="F354" t="str">
            <v>200</v>
          </cell>
          <cell r="G354">
            <v>1.1200000000000001</v>
          </cell>
          <cell r="H354">
            <v>409</v>
          </cell>
          <cell r="I354">
            <v>1.38</v>
          </cell>
          <cell r="J354" t="str">
            <v>200</v>
          </cell>
          <cell r="K354">
            <v>0.88</v>
          </cell>
        </row>
        <row r="355">
          <cell r="B355">
            <v>4.5</v>
          </cell>
          <cell r="C355">
            <v>0.91397959183673472</v>
          </cell>
          <cell r="D355">
            <v>105</v>
          </cell>
          <cell r="E355">
            <v>1.39</v>
          </cell>
          <cell r="F355" t="str">
            <v>200</v>
          </cell>
          <cell r="G355">
            <v>1.6</v>
          </cell>
          <cell r="H355">
            <v>108</v>
          </cell>
          <cell r="I355">
            <v>1.38</v>
          </cell>
          <cell r="J355" t="str">
            <v>200</v>
          </cell>
          <cell r="K355">
            <v>1.84</v>
          </cell>
        </row>
        <row r="356">
          <cell r="B356">
            <v>30</v>
          </cell>
          <cell r="C356">
            <v>10.071020408163266</v>
          </cell>
          <cell r="D356">
            <v>13</v>
          </cell>
          <cell r="E356">
            <v>1.38</v>
          </cell>
          <cell r="F356" t="str">
            <v>200</v>
          </cell>
          <cell r="G356">
            <v>2.2999999999999998</v>
          </cell>
          <cell r="H356">
            <v>11</v>
          </cell>
          <cell r="I356">
            <v>1.41</v>
          </cell>
          <cell r="J356" t="str">
            <v>200</v>
          </cell>
          <cell r="K356">
            <v>2.86</v>
          </cell>
        </row>
        <row r="357">
          <cell r="C357" t="str">
            <v>Average:</v>
          </cell>
          <cell r="E357">
            <v>1.39</v>
          </cell>
          <cell r="I357">
            <v>1.39</v>
          </cell>
        </row>
        <row r="358">
          <cell r="C358" t="str">
            <v>Expected Average:</v>
          </cell>
          <cell r="E358">
            <v>1.4652307692307689</v>
          </cell>
          <cell r="I358">
            <v>1.4652307692307689</v>
          </cell>
        </row>
        <row r="359">
          <cell r="C359" t="str">
            <v>Average Difference:</v>
          </cell>
          <cell r="E359">
            <v>7.523076923076899E-2</v>
          </cell>
          <cell r="I359">
            <v>7.523076923076899E-2</v>
          </cell>
        </row>
        <row r="360">
          <cell r="C360" t="str">
            <v>Slope = variable/log(mR):</v>
          </cell>
          <cell r="D360">
            <v>-0.74062225666262105</v>
          </cell>
          <cell r="E360" t="str">
            <v>NA</v>
          </cell>
          <cell r="G360">
            <v>0.59480200842454956</v>
          </cell>
          <cell r="H360">
            <v>-0.79253425898297403</v>
          </cell>
          <cell r="K360">
            <v>0.99555671953023794</v>
          </cell>
        </row>
        <row r="361">
          <cell r="C361" t="str">
            <v>Expected Slope:</v>
          </cell>
          <cell r="D361">
            <v>-1</v>
          </cell>
          <cell r="E361" t="str">
            <v>NA</v>
          </cell>
          <cell r="G361">
            <v>0.88312500000000005</v>
          </cell>
          <cell r="H361">
            <v>-1</v>
          </cell>
          <cell r="K361">
            <v>1.7662500000000001</v>
          </cell>
        </row>
        <row r="362">
          <cell r="C362" t="str">
            <v>Percent Difference:</v>
          </cell>
          <cell r="D362">
            <v>0.25937774333737895</v>
          </cell>
          <cell r="E362" t="str">
            <v>NA</v>
          </cell>
          <cell r="G362">
            <v>0.32648038678041102</v>
          </cell>
          <cell r="H362">
            <v>0.20746574101702597</v>
          </cell>
          <cell r="K362">
            <v>0.4363443909241399</v>
          </cell>
        </row>
        <row r="363">
          <cell r="C363" t="str">
            <v xml:space="preserve">Intercept </v>
          </cell>
          <cell r="D363">
            <v>1.9005036693008732</v>
          </cell>
          <cell r="E363" t="str">
            <v>NA</v>
          </cell>
          <cell r="G363">
            <v>1.6775322679528537</v>
          </cell>
          <cell r="H363">
            <v>1.8899184474317037</v>
          </cell>
          <cell r="K363">
            <v>1.8670280152321679</v>
          </cell>
        </row>
        <row r="364">
          <cell r="C364" t="str">
            <v>Correlation Coefficient:</v>
          </cell>
          <cell r="D364">
            <v>0.99671982909639678</v>
          </cell>
          <cell r="E364" t="str">
            <v>NA</v>
          </cell>
          <cell r="G364">
            <v>0.99685297168499698</v>
          </cell>
          <cell r="H364">
            <v>0.99586939887964954</v>
          </cell>
          <cell r="K364">
            <v>0.99994613746305616</v>
          </cell>
        </row>
        <row r="365">
          <cell r="C365" t="str">
            <v>Acceptable:</v>
          </cell>
          <cell r="D365" t="str">
            <v>No</v>
          </cell>
          <cell r="F365" t="str">
            <v>Yes</v>
          </cell>
          <cell r="H365" t="str">
            <v>No</v>
          </cell>
          <cell r="J365" t="str">
            <v>No</v>
          </cell>
        </row>
        <row r="367">
          <cell r="A367" t="str">
            <v>IP Type:</v>
          </cell>
          <cell r="B367" t="str">
            <v>ST 10x12</v>
          </cell>
          <cell r="D367" t="str">
            <v>Menu = TEST</v>
          </cell>
          <cell r="F367" t="str">
            <v>Menu = TEST</v>
          </cell>
          <cell r="H367" t="str">
            <v>Menu = TEST</v>
          </cell>
          <cell r="J367" t="str">
            <v>Menu = TEST</v>
          </cell>
        </row>
        <row r="368">
          <cell r="A368" t="str">
            <v>IP SN:</v>
          </cell>
          <cell r="B368" t="str">
            <v>Variable</v>
          </cell>
          <cell r="D368" t="str">
            <v>SubMenu = AVE 4.0</v>
          </cell>
          <cell r="F368" t="str">
            <v>SubMenu = AVE 4.0</v>
          </cell>
          <cell r="H368" t="str">
            <v>SubMenu = AVE 2.0</v>
          </cell>
          <cell r="J368" t="str">
            <v>SubMenu = AVE 2.0</v>
          </cell>
        </row>
        <row r="369">
          <cell r="D369" t="str">
            <v>L= 4, EDR = semi</v>
          </cell>
          <cell r="F369" t="str">
            <v>L= 4, EDR = fix 200</v>
          </cell>
          <cell r="H369" t="str">
            <v>L= 2, EDR = semi</v>
          </cell>
          <cell r="J369" t="str">
            <v>L= 2, EDR = fix 200</v>
          </cell>
        </row>
        <row r="370">
          <cell r="B370" t="str">
            <v>mAs</v>
          </cell>
          <cell r="C370" t="str">
            <v>mR-IP</v>
          </cell>
          <cell r="D370" t="str">
            <v>S</v>
          </cell>
          <cell r="E370" t="str">
            <v>OD</v>
          </cell>
          <cell r="F370" t="str">
            <v>S</v>
          </cell>
          <cell r="G370" t="str">
            <v>OD</v>
          </cell>
          <cell r="H370" t="str">
            <v>S</v>
          </cell>
          <cell r="I370" t="str">
            <v>OD</v>
          </cell>
          <cell r="J370" t="str">
            <v>S</v>
          </cell>
          <cell r="K370" t="str">
            <v>OD</v>
          </cell>
        </row>
        <row r="371">
          <cell r="B371">
            <v>1.25</v>
          </cell>
          <cell r="C371">
            <v>0.10346938775510203</v>
          </cell>
          <cell r="D371">
            <v>391</v>
          </cell>
          <cell r="E371">
            <v>1.39</v>
          </cell>
          <cell r="F371" t="str">
            <v>200</v>
          </cell>
          <cell r="G371">
            <v>1.18</v>
          </cell>
          <cell r="H371">
            <v>409</v>
          </cell>
          <cell r="I371">
            <v>1.41</v>
          </cell>
          <cell r="J371" t="str">
            <v>200</v>
          </cell>
          <cell r="K371">
            <v>0.97</v>
          </cell>
        </row>
        <row r="372">
          <cell r="B372">
            <v>4.5</v>
          </cell>
          <cell r="C372">
            <v>0.91397959183673472</v>
          </cell>
          <cell r="D372">
            <v>105</v>
          </cell>
          <cell r="E372">
            <v>1.41</v>
          </cell>
          <cell r="F372" t="str">
            <v>200</v>
          </cell>
          <cell r="G372">
            <v>1.58</v>
          </cell>
          <cell r="H372">
            <v>108</v>
          </cell>
          <cell r="I372">
            <v>1.42</v>
          </cell>
          <cell r="J372" t="str">
            <v>200</v>
          </cell>
          <cell r="K372">
            <v>1.82</v>
          </cell>
        </row>
        <row r="373">
          <cell r="B373">
            <v>30</v>
          </cell>
          <cell r="C373">
            <v>10.071020408163266</v>
          </cell>
          <cell r="D373">
            <v>13</v>
          </cell>
          <cell r="E373">
            <v>1.4</v>
          </cell>
          <cell r="F373" t="str">
            <v>200</v>
          </cell>
          <cell r="G373">
            <v>2.2999999999999998</v>
          </cell>
          <cell r="H373">
            <v>12</v>
          </cell>
          <cell r="I373">
            <v>1.38</v>
          </cell>
          <cell r="J373" t="str">
            <v>200</v>
          </cell>
          <cell r="K373">
            <v>2.83</v>
          </cell>
        </row>
        <row r="374">
          <cell r="C374" t="str">
            <v>Average:</v>
          </cell>
          <cell r="E374">
            <v>1.3999999999999997</v>
          </cell>
          <cell r="I374">
            <v>1.4033333333333333</v>
          </cell>
        </row>
        <row r="375">
          <cell r="C375" t="str">
            <v>Expected Average:</v>
          </cell>
          <cell r="E375">
            <v>1.4652307692307689</v>
          </cell>
          <cell r="I375">
            <v>1.4652307692307689</v>
          </cell>
        </row>
        <row r="376">
          <cell r="C376" t="str">
            <v>Percent Difference:</v>
          </cell>
          <cell r="E376">
            <v>6.5230769230769203E-2</v>
          </cell>
          <cell r="I376">
            <v>6.1897435897435571E-2</v>
          </cell>
        </row>
        <row r="377">
          <cell r="C377" t="str">
            <v>Slope = variable/log(mR):</v>
          </cell>
          <cell r="D377">
            <v>-0.74562304496845566</v>
          </cell>
          <cell r="E377" t="str">
            <v>NA</v>
          </cell>
          <cell r="G377">
            <v>0.56545728061759237</v>
          </cell>
          <cell r="H377">
            <v>-0.77323750079834963</v>
          </cell>
          <cell r="K377">
            <v>0.93605831445499466</v>
          </cell>
        </row>
        <row r="378">
          <cell r="C378" t="str">
            <v>Expected Slope:</v>
          </cell>
          <cell r="D378">
            <v>-1</v>
          </cell>
          <cell r="E378" t="str">
            <v>NA</v>
          </cell>
          <cell r="G378">
            <v>0.88312500000000005</v>
          </cell>
          <cell r="H378">
            <v>-1</v>
          </cell>
          <cell r="K378">
            <v>1.7662500000000001</v>
          </cell>
        </row>
        <row r="379">
          <cell r="C379" t="str">
            <v>Percent Difference:</v>
          </cell>
          <cell r="D379">
            <v>0.25437695503154434</v>
          </cell>
          <cell r="E379" t="str">
            <v>NA</v>
          </cell>
          <cell r="G379">
            <v>0.35970867021362507</v>
          </cell>
          <cell r="H379">
            <v>0.22676249920165037</v>
          </cell>
          <cell r="K379">
            <v>0.47003067829865841</v>
          </cell>
        </row>
        <row r="380">
          <cell r="C380" t="str">
            <v xml:space="preserve">Intercept </v>
          </cell>
          <cell r="D380">
            <v>1.9038394983204077</v>
          </cell>
          <cell r="E380" t="str">
            <v>NA</v>
          </cell>
          <cell r="G380">
            <v>1.6906584456415459</v>
          </cell>
          <cell r="H380">
            <v>1.902650857583122</v>
          </cell>
          <cell r="K380">
            <v>1.879941326592915</v>
          </cell>
        </row>
        <row r="381">
          <cell r="C381" t="str">
            <v>Correlation Coefficient:</v>
          </cell>
          <cell r="D381">
            <v>0.9970907811751224</v>
          </cell>
          <cell r="E381" t="str">
            <v>NA</v>
          </cell>
          <cell r="G381">
            <v>0.99081875223190141</v>
          </cell>
          <cell r="H381">
            <v>0.99654308154896132</v>
          </cell>
          <cell r="K381">
            <v>0.99976345692575763</v>
          </cell>
        </row>
        <row r="382">
          <cell r="C382" t="str">
            <v>Acceptable:</v>
          </cell>
          <cell r="D382" t="str">
            <v>No</v>
          </cell>
          <cell r="F382" t="str">
            <v>Yes</v>
          </cell>
          <cell r="H382" t="str">
            <v>No</v>
          </cell>
          <cell r="J382" t="str">
            <v>No</v>
          </cell>
        </row>
        <row r="385">
          <cell r="B385" t="str">
            <v>Criteria:</v>
          </cell>
          <cell r="C385" t="str">
            <v>Percent difference of avg. OD from the expected value should not exceed 0.14.</v>
          </cell>
        </row>
        <row r="386">
          <cell r="C386" t="str">
            <v>Correlation coefficient of linear fits to the data should be higher than 0.95.</v>
          </cell>
        </row>
        <row r="387">
          <cell r="C387" t="str">
            <v>Percent difference of the slope from the expected value should not exceed 0.2</v>
          </cell>
        </row>
        <row r="388">
          <cell r="C388" t="str">
            <v>for EI/S and 0.4 for OD.</v>
          </cell>
        </row>
        <row r="390">
          <cell r="H390" t="str">
            <v>Acceptable:</v>
          </cell>
          <cell r="J390" t="str">
            <v>No</v>
          </cell>
        </row>
        <row r="391">
          <cell r="B391" t="str">
            <v>Comments:</v>
          </cell>
        </row>
        <row r="397">
          <cell r="B397" t="str">
            <v>Date:</v>
          </cell>
          <cell r="C397" t="str">
            <v/>
          </cell>
          <cell r="I397" t="str">
            <v>Location:</v>
          </cell>
          <cell r="J397" t="str">
            <v/>
          </cell>
        </row>
        <row r="398">
          <cell r="B398" t="str">
            <v>Medical Physicist:</v>
          </cell>
          <cell r="C398" t="str">
            <v/>
          </cell>
          <cell r="I398" t="str">
            <v>System Identification:</v>
          </cell>
          <cell r="J398" t="str">
            <v/>
          </cell>
        </row>
        <row r="400">
          <cell r="K400">
            <v>0</v>
          </cell>
        </row>
        <row r="401">
          <cell r="K401" t="str">
            <v>CR Reader and Screens</v>
          </cell>
        </row>
        <row r="402">
          <cell r="F402" t="str">
            <v>Signal Response: Calibration and Beam Quality</v>
          </cell>
        </row>
        <row r="406">
          <cell r="B406" t="str">
            <v>Note:</v>
          </cell>
          <cell r="C406" t="str">
            <v>Use mAs values to provide an approximate exposure of 1 mR to the IP.</v>
          </cell>
        </row>
        <row r="408">
          <cell r="D408" t="str">
            <v>Menu = TEST</v>
          </cell>
          <cell r="G408" t="str">
            <v>Exposure Conditions</v>
          </cell>
        </row>
        <row r="409">
          <cell r="A409" t="str">
            <v>IP Type:</v>
          </cell>
          <cell r="B409" t="str">
            <v>ST 14x17</v>
          </cell>
          <cell r="D409" t="str">
            <v>SubMenu = Ave 2.0</v>
          </cell>
          <cell r="G409" t="str">
            <v>Focal spot</v>
          </cell>
          <cell r="H409" t="str">
            <v>Time delay</v>
          </cell>
          <cell r="I409" t="str">
            <v>SID (cm)</v>
          </cell>
          <cell r="J409" t="str">
            <v>SMD (cm)</v>
          </cell>
        </row>
        <row r="410">
          <cell r="A410" t="str">
            <v>IP SN:</v>
          </cell>
          <cell r="D410" t="str">
            <v>L = 2, EDR = semi</v>
          </cell>
          <cell r="G410" t="str">
            <v>1.2 mm</v>
          </cell>
          <cell r="H410" t="str">
            <v xml:space="preserve">~2 min </v>
          </cell>
          <cell r="I410">
            <v>140</v>
          </cell>
          <cell r="J410">
            <v>130</v>
          </cell>
        </row>
        <row r="412">
          <cell r="B412" t="str">
            <v>kVp Dependency</v>
          </cell>
        </row>
        <row r="413">
          <cell r="B413" t="str">
            <v>kVp</v>
          </cell>
          <cell r="C413" t="str">
            <v>Filtration</v>
          </cell>
          <cell r="D413" t="str">
            <v>mAs</v>
          </cell>
          <cell r="E413" t="str">
            <v>mR-meter</v>
          </cell>
          <cell r="F413" t="str">
            <v>mR-IP</v>
          </cell>
          <cell r="G413" t="str">
            <v>S</v>
          </cell>
          <cell r="H413" t="str">
            <v>S (1mR)</v>
          </cell>
          <cell r="I413" t="str">
            <v>OD</v>
          </cell>
          <cell r="J413" t="str">
            <v>NA</v>
          </cell>
        </row>
        <row r="414">
          <cell r="B414">
            <v>60</v>
          </cell>
          <cell r="C414" t="str">
            <v>1 Al/0.5 Cu</v>
          </cell>
          <cell r="D414">
            <v>15</v>
          </cell>
          <cell r="E414">
            <v>1.06</v>
          </cell>
          <cell r="F414">
            <v>0.91397959183673472</v>
          </cell>
          <cell r="G414">
            <v>121</v>
          </cell>
          <cell r="H414">
            <v>110.5915306122449</v>
          </cell>
          <cell r="I414">
            <v>1.41</v>
          </cell>
          <cell r="J414" t="str">
            <v>NA</v>
          </cell>
        </row>
        <row r="415">
          <cell r="B415">
            <v>80</v>
          </cell>
          <cell r="C415" t="str">
            <v>1 Al/0.5 Cu</v>
          </cell>
          <cell r="D415">
            <v>4.5</v>
          </cell>
          <cell r="E415">
            <v>1.06</v>
          </cell>
          <cell r="F415">
            <v>0.91397959183673472</v>
          </cell>
          <cell r="G415">
            <v>108</v>
          </cell>
          <cell r="H415">
            <v>98.709795918367348</v>
          </cell>
          <cell r="I415">
            <v>1.38</v>
          </cell>
          <cell r="J415" t="str">
            <v>NA</v>
          </cell>
        </row>
        <row r="416">
          <cell r="B416">
            <v>115</v>
          </cell>
          <cell r="C416" t="str">
            <v>1 Al/0.5 Cu</v>
          </cell>
          <cell r="D416">
            <v>1.1299999999999999</v>
          </cell>
          <cell r="E416">
            <v>1.1399999999999999</v>
          </cell>
          <cell r="F416">
            <v>0.98295918367346935</v>
          </cell>
          <cell r="G416">
            <v>115</v>
          </cell>
          <cell r="H416">
            <v>113.04030612244898</v>
          </cell>
          <cell r="I416">
            <v>1.45</v>
          </cell>
          <cell r="J416" t="str">
            <v>NA</v>
          </cell>
        </row>
        <row r="417">
          <cell r="G417" t="str">
            <v>Maximum Difference:</v>
          </cell>
          <cell r="H417">
            <v>14.330510204081634</v>
          </cell>
          <cell r="I417">
            <v>7.0000000000000062E-2</v>
          </cell>
          <cell r="J417" t="str">
            <v>NA</v>
          </cell>
        </row>
        <row r="418">
          <cell r="B418" t="str">
            <v>Filtration Dependency</v>
          </cell>
        </row>
        <row r="419">
          <cell r="B419" t="str">
            <v>kVp</v>
          </cell>
          <cell r="C419" t="str">
            <v>Filtration</v>
          </cell>
          <cell r="D419" t="str">
            <v>mAs</v>
          </cell>
          <cell r="E419" t="str">
            <v>mR-meter</v>
          </cell>
          <cell r="F419" t="str">
            <v>mR-IP</v>
          </cell>
          <cell r="G419" t="str">
            <v>S</v>
          </cell>
          <cell r="H419" t="str">
            <v>S (1mR)</v>
          </cell>
          <cell r="I419" t="str">
            <v>OD</v>
          </cell>
          <cell r="J419" t="str">
            <v>NA</v>
          </cell>
        </row>
        <row r="420">
          <cell r="B420">
            <v>80</v>
          </cell>
          <cell r="C420" t="str">
            <v>none</v>
          </cell>
          <cell r="D420">
            <v>0.5</v>
          </cell>
          <cell r="E420">
            <v>0.96</v>
          </cell>
          <cell r="F420">
            <v>0.82775510204081626</v>
          </cell>
          <cell r="G420">
            <v>187</v>
          </cell>
          <cell r="H420">
            <v>154.79020408163265</v>
          </cell>
          <cell r="I420">
            <v>1.4</v>
          </cell>
          <cell r="J420" t="str">
            <v>NA</v>
          </cell>
        </row>
        <row r="421">
          <cell r="B421">
            <v>80</v>
          </cell>
          <cell r="C421" t="str">
            <v>1 Al/0.5 Cu</v>
          </cell>
          <cell r="D421">
            <v>4.5</v>
          </cell>
          <cell r="E421">
            <v>1.06</v>
          </cell>
          <cell r="F421">
            <v>0.91397959183673472</v>
          </cell>
          <cell r="G421">
            <v>108</v>
          </cell>
          <cell r="H421">
            <v>98.709795918367348</v>
          </cell>
          <cell r="I421">
            <v>1.38</v>
          </cell>
          <cell r="J421" t="str">
            <v>NA</v>
          </cell>
        </row>
        <row r="422">
          <cell r="B422">
            <v>80</v>
          </cell>
          <cell r="C422" t="str">
            <v>1Al/2.5Cu</v>
          </cell>
          <cell r="D422">
            <v>60</v>
          </cell>
          <cell r="E422">
            <v>0.99</v>
          </cell>
          <cell r="F422">
            <v>0.85362244897959183</v>
          </cell>
          <cell r="G422">
            <v>124</v>
          </cell>
          <cell r="H422">
            <v>105.84918367346938</v>
          </cell>
          <cell r="I422">
            <v>1.4</v>
          </cell>
          <cell r="J422" t="str">
            <v>NA</v>
          </cell>
        </row>
        <row r="423">
          <cell r="G423" t="str">
            <v>Maximum Difference:</v>
          </cell>
          <cell r="H423">
            <v>56.080408163265304</v>
          </cell>
          <cell r="I423">
            <v>2.0000000000000018E-2</v>
          </cell>
          <cell r="J423" t="str">
            <v>NA</v>
          </cell>
        </row>
        <row r="438">
          <cell r="F438" t="str">
            <v>Calibration</v>
          </cell>
        </row>
        <row r="439">
          <cell r="B439" t="str">
            <v>Menu = TEST</v>
          </cell>
        </row>
        <row r="440">
          <cell r="B440" t="str">
            <v>SubMenu = Sensitivity</v>
          </cell>
        </row>
        <row r="441">
          <cell r="B441" t="str">
            <v>L = 1, EDR = semi</v>
          </cell>
          <cell r="F441" t="str">
            <v>kVp</v>
          </cell>
          <cell r="G441" t="str">
            <v>Filtration</v>
          </cell>
          <cell r="H441" t="str">
            <v>Focal spot</v>
          </cell>
          <cell r="I441" t="str">
            <v>Time delay</v>
          </cell>
          <cell r="J441" t="str">
            <v>SID (cm)</v>
          </cell>
          <cell r="K441" t="str">
            <v>SMD (cm)</v>
          </cell>
        </row>
        <row r="442">
          <cell r="F442">
            <v>80</v>
          </cell>
          <cell r="G442" t="str">
            <v>none</v>
          </cell>
          <cell r="H442">
            <v>1.2</v>
          </cell>
          <cell r="I442" t="str">
            <v>10 min</v>
          </cell>
          <cell r="J442">
            <v>140</v>
          </cell>
          <cell r="K442">
            <v>130</v>
          </cell>
        </row>
        <row r="443">
          <cell r="B443" t="str">
            <v>IP Type</v>
          </cell>
          <cell r="C443" t="str">
            <v>IP SN</v>
          </cell>
          <cell r="E443" t="str">
            <v>mAs</v>
          </cell>
          <cell r="F443" t="str">
            <v>mR-meter</v>
          </cell>
          <cell r="G443" t="str">
            <v>mR-IP</v>
          </cell>
          <cell r="H443" t="str">
            <v>S</v>
          </cell>
          <cell r="I443" t="str">
            <v>S (1mR)</v>
          </cell>
          <cell r="J443" t="str">
            <v>OD</v>
          </cell>
          <cell r="K443" t="str">
            <v>NA</v>
          </cell>
        </row>
        <row r="444">
          <cell r="B444" t="str">
            <v>ST 14x17</v>
          </cell>
          <cell r="E444">
            <v>0.5</v>
          </cell>
          <cell r="F444">
            <v>1.1299999999999999</v>
          </cell>
          <cell r="G444">
            <v>0.97433673469387749</v>
          </cell>
          <cell r="H444">
            <v>205</v>
          </cell>
          <cell r="I444">
            <v>199.73903061224487</v>
          </cell>
          <cell r="J444">
            <v>1.5</v>
          </cell>
          <cell r="K444" t="str">
            <v>NA</v>
          </cell>
        </row>
        <row r="445">
          <cell r="B445" t="str">
            <v>ST 14x17</v>
          </cell>
          <cell r="E445">
            <v>0.5</v>
          </cell>
          <cell r="F445">
            <v>1.1299999999999999</v>
          </cell>
          <cell r="G445">
            <v>0.97433673469387749</v>
          </cell>
          <cell r="H445">
            <v>205</v>
          </cell>
          <cell r="I445">
            <v>199.73903061224487</v>
          </cell>
          <cell r="J445">
            <v>1.44</v>
          </cell>
          <cell r="K445" t="str">
            <v>NA</v>
          </cell>
        </row>
        <row r="446">
          <cell r="B446" t="str">
            <v>ST 14x17</v>
          </cell>
          <cell r="E446">
            <v>0.5</v>
          </cell>
          <cell r="F446">
            <v>1.1280000000000001</v>
          </cell>
          <cell r="G446">
            <v>0.97261224489795928</v>
          </cell>
          <cell r="H446">
            <v>187</v>
          </cell>
          <cell r="I446">
            <v>181.8784897959184</v>
          </cell>
          <cell r="J446">
            <v>1.42</v>
          </cell>
          <cell r="K446" t="str">
            <v>NA</v>
          </cell>
        </row>
        <row r="447">
          <cell r="B447" t="str">
            <v>ST 14x17</v>
          </cell>
          <cell r="E447">
            <v>0.5</v>
          </cell>
          <cell r="F447">
            <v>1.1280000000000001</v>
          </cell>
          <cell r="G447">
            <v>0.97261224489795928</v>
          </cell>
          <cell r="H447">
            <v>200</v>
          </cell>
          <cell r="I447">
            <v>194.52244897959184</v>
          </cell>
          <cell r="J447">
            <v>1.43</v>
          </cell>
          <cell r="K447" t="str">
            <v>NA</v>
          </cell>
        </row>
        <row r="448">
          <cell r="B448" t="str">
            <v>ST 14x17</v>
          </cell>
          <cell r="E448">
            <v>0.5</v>
          </cell>
          <cell r="F448">
            <v>1.1280000000000001</v>
          </cell>
          <cell r="G448">
            <v>0.97261224489795928</v>
          </cell>
          <cell r="H448">
            <v>191</v>
          </cell>
          <cell r="I448">
            <v>185.76893877551024</v>
          </cell>
          <cell r="J448">
            <v>1.44</v>
          </cell>
          <cell r="K448" t="str">
            <v>NA</v>
          </cell>
        </row>
        <row r="449">
          <cell r="H449" t="str">
            <v>Mean:</v>
          </cell>
          <cell r="I449">
            <v>192.32958775510204</v>
          </cell>
          <cell r="J449">
            <v>1.4459999999999997</v>
          </cell>
          <cell r="K449" t="str">
            <v>NA</v>
          </cell>
        </row>
        <row r="450">
          <cell r="H450" t="str">
            <v>Standard Deviation:</v>
          </cell>
          <cell r="I450">
            <v>8.1681682591981666</v>
          </cell>
          <cell r="J450">
            <v>3.130495168501448E-2</v>
          </cell>
          <cell r="K450" t="str">
            <v>NA</v>
          </cell>
        </row>
        <row r="452">
          <cell r="B452" t="str">
            <v>Criteria:</v>
          </cell>
          <cell r="C452" t="str">
            <v>BEAM QUALITY: Maximum difference in OD should be less than 0.14.</v>
          </cell>
        </row>
        <row r="453">
          <cell r="C453" t="str">
            <v>CALIBRATION: For 80 kVp w/o filtration, 1 mR: S = 200 +/- 10.</v>
          </cell>
        </row>
        <row r="455">
          <cell r="H455" t="str">
            <v>Acceptable:</v>
          </cell>
          <cell r="J455" t="str">
            <v>Yes</v>
          </cell>
        </row>
        <row r="456">
          <cell r="B456" t="str">
            <v>Comments:</v>
          </cell>
        </row>
        <row r="460">
          <cell r="B460" t="str">
            <v>Date:</v>
          </cell>
          <cell r="C460" t="str">
            <v/>
          </cell>
          <cell r="I460" t="str">
            <v>Location:</v>
          </cell>
          <cell r="J460" t="str">
            <v/>
          </cell>
        </row>
        <row r="461">
          <cell r="B461" t="str">
            <v>Medical Physicist:</v>
          </cell>
          <cell r="C461" t="str">
            <v/>
          </cell>
          <cell r="I461" t="str">
            <v>System Identification:</v>
          </cell>
          <cell r="J461" t="str">
            <v/>
          </cell>
        </row>
        <row r="463">
          <cell r="K463">
            <v>0</v>
          </cell>
        </row>
        <row r="464">
          <cell r="K464" t="str">
            <v>CR Reader and Screens</v>
          </cell>
        </row>
        <row r="465">
          <cell r="F465" t="str">
            <v>Laser Beam Function and High-Contrast Resolution</v>
          </cell>
        </row>
        <row r="469">
          <cell r="F469" t="str">
            <v>Laser Beam Function</v>
          </cell>
        </row>
        <row r="471">
          <cell r="B471" t="str">
            <v>Note:</v>
          </cell>
          <cell r="C471" t="str">
            <v>Center the ruler on the IP, perpendicular to the laser-scan direction.</v>
          </cell>
        </row>
        <row r="473">
          <cell r="B473" t="str">
            <v>Menu = TEST</v>
          </cell>
          <cell r="E473" t="str">
            <v>kVp</v>
          </cell>
          <cell r="F473" t="str">
            <v>Filtration</v>
          </cell>
          <cell r="G473" t="str">
            <v>Focal spot</v>
          </cell>
          <cell r="H473" t="str">
            <v>SID (cm)</v>
          </cell>
          <cell r="I473" t="str">
            <v>Nom. mR</v>
          </cell>
          <cell r="J473" t="str">
            <v>mAs</v>
          </cell>
        </row>
        <row r="474">
          <cell r="B474" t="str">
            <v>SubMenu = Sensitivity</v>
          </cell>
          <cell r="E474">
            <v>60</v>
          </cell>
          <cell r="F474" t="str">
            <v>1 Al/0.5 Cu</v>
          </cell>
          <cell r="G474">
            <v>0.6</v>
          </cell>
          <cell r="H474">
            <v>180</v>
          </cell>
          <cell r="I474">
            <v>5</v>
          </cell>
          <cell r="J474">
            <v>70</v>
          </cell>
        </row>
        <row r="475">
          <cell r="B475" t="str">
            <v>L= 1, EDR = Semi</v>
          </cell>
        </row>
        <row r="476">
          <cell r="G476" t="str">
            <v>Ruler edge straight and continuous?</v>
          </cell>
          <cell r="H476" t="str">
            <v>Yes</v>
          </cell>
        </row>
        <row r="477">
          <cell r="B477" t="str">
            <v>IP Type/Size</v>
          </cell>
          <cell r="C477" t="str">
            <v>3 sizes</v>
          </cell>
          <cell r="G477" t="str">
            <v>Beam jitters absent?</v>
          </cell>
          <cell r="H477" t="str">
            <v>Yes</v>
          </cell>
        </row>
        <row r="478">
          <cell r="G478" t="str">
            <v>Signal dropouts absent?</v>
          </cell>
          <cell r="H478" t="str">
            <v>Yes</v>
          </cell>
        </row>
        <row r="480">
          <cell r="B480" t="str">
            <v>Criteria:</v>
          </cell>
          <cell r="C480" t="str">
            <v>No laser beam malfunction artifacts should be identified.</v>
          </cell>
        </row>
        <row r="483">
          <cell r="H483" t="str">
            <v>Acceptable:</v>
          </cell>
          <cell r="J483" t="str">
            <v>Yes</v>
          </cell>
        </row>
        <row r="485">
          <cell r="B485" t="str">
            <v>Comments:</v>
          </cell>
        </row>
        <row r="492">
          <cell r="F492" t="str">
            <v>High-Contrast Resolution</v>
          </cell>
        </row>
        <row r="494">
          <cell r="B494" t="str">
            <v>Note:</v>
          </cell>
          <cell r="C494" t="str">
            <v>Line-pair pattern placed at a slight angle (~5 degrees) wrt the laser-scan and the plate-scan directions.</v>
          </cell>
        </row>
        <row r="497">
          <cell r="B497" t="str">
            <v>Menu = TEST</v>
          </cell>
          <cell r="E497" t="str">
            <v>kVp</v>
          </cell>
          <cell r="F497" t="str">
            <v>Filtration</v>
          </cell>
          <cell r="G497" t="str">
            <v>Focal spot</v>
          </cell>
          <cell r="H497" t="str">
            <v>SID (cm)</v>
          </cell>
          <cell r="I497" t="str">
            <v>Nom. mR</v>
          </cell>
          <cell r="J497" t="str">
            <v>mAs</v>
          </cell>
        </row>
        <row r="498">
          <cell r="B498" t="str">
            <v>SubMenu = Contrast</v>
          </cell>
          <cell r="E498">
            <v>60</v>
          </cell>
          <cell r="F498" t="str">
            <v>1 Al/0.5 Cu</v>
          </cell>
          <cell r="G498">
            <v>0.6</v>
          </cell>
          <cell r="H498">
            <v>180</v>
          </cell>
          <cell r="I498">
            <v>5</v>
          </cell>
          <cell r="J498">
            <v>70</v>
          </cell>
        </row>
        <row r="499">
          <cell r="B499" t="str">
            <v>L= 2, EDR = Semi</v>
          </cell>
        </row>
        <row r="501">
          <cell r="C501" t="str">
            <v>Display Condition:</v>
          </cell>
          <cell r="D501" t="str">
            <v>Max zoom and Contrast on the HIC display.</v>
          </cell>
        </row>
        <row r="504">
          <cell r="A504" t="str">
            <v>IP</v>
          </cell>
          <cell r="B504" t="str">
            <v>IP</v>
          </cell>
          <cell r="C504" t="str">
            <v>Px Size</v>
          </cell>
          <cell r="D504" t="str">
            <v>Nyquist f</v>
          </cell>
          <cell r="E504" t="str">
            <v>Expected</v>
          </cell>
          <cell r="F504" t="str">
            <v>LSC</v>
          </cell>
          <cell r="G504" t="str">
            <v>PSC</v>
          </cell>
          <cell r="H504" t="str">
            <v>LSC</v>
          </cell>
          <cell r="I504" t="str">
            <v>PSC</v>
          </cell>
          <cell r="J504" t="str">
            <v>Fine mesh</v>
          </cell>
          <cell r="K504" t="str">
            <v>Acceptable</v>
          </cell>
        </row>
        <row r="505">
          <cell r="A505" t="str">
            <v>Type/Size</v>
          </cell>
          <cell r="B505" t="str">
            <v>S.N.</v>
          </cell>
          <cell r="C505" t="str">
            <v>(mm)</v>
          </cell>
          <cell r="D505" t="str">
            <v>(lp/mm)</v>
          </cell>
          <cell r="E505" t="str">
            <v>Response</v>
          </cell>
          <cell r="F505" t="str">
            <v>lp/mm</v>
          </cell>
          <cell r="G505" t="str">
            <v>lp/mm</v>
          </cell>
          <cell r="H505" t="str">
            <v>% diff</v>
          </cell>
          <cell r="I505" t="str">
            <v>% diff</v>
          </cell>
          <cell r="J505" t="str">
            <v>uniform (Y/N)</v>
          </cell>
          <cell r="K505" t="str">
            <v>(yes/no)</v>
          </cell>
        </row>
        <row r="506">
          <cell r="A506" t="str">
            <v>ST 14x17</v>
          </cell>
          <cell r="B506" t="str">
            <v>var</v>
          </cell>
          <cell r="C506">
            <v>0.2</v>
          </cell>
          <cell r="D506">
            <v>2.5</v>
          </cell>
          <cell r="E506">
            <v>2.5</v>
          </cell>
          <cell r="F506">
            <v>2.58</v>
          </cell>
          <cell r="G506">
            <v>2.48</v>
          </cell>
          <cell r="H506">
            <v>3.2000000000000028E-2</v>
          </cell>
          <cell r="I506">
            <v>-8.0000000000000071E-3</v>
          </cell>
          <cell r="J506" t="str">
            <v>Y</v>
          </cell>
          <cell r="K506" t="str">
            <v>Yes</v>
          </cell>
        </row>
        <row r="507">
          <cell r="A507" t="str">
            <v>ST 10x12</v>
          </cell>
          <cell r="B507" t="str">
            <v>var</v>
          </cell>
          <cell r="C507">
            <v>0.15</v>
          </cell>
          <cell r="D507">
            <v>3.3333333333333335</v>
          </cell>
          <cell r="E507">
            <v>3.3</v>
          </cell>
          <cell r="F507">
            <v>3.13</v>
          </cell>
          <cell r="G507">
            <v>3.27</v>
          </cell>
          <cell r="H507">
            <v>-5.1515151515151493E-2</v>
          </cell>
          <cell r="I507">
            <v>-9.0909090909090315E-3</v>
          </cell>
          <cell r="J507" t="str">
            <v>Y</v>
          </cell>
          <cell r="K507" t="str">
            <v>Yes</v>
          </cell>
        </row>
        <row r="508">
          <cell r="A508" t="str">
            <v>ST 8x10</v>
          </cell>
          <cell r="B508" t="str">
            <v>var</v>
          </cell>
          <cell r="C508">
            <v>0.1</v>
          </cell>
          <cell r="D508">
            <v>5</v>
          </cell>
          <cell r="E508">
            <v>5</v>
          </cell>
          <cell r="F508">
            <v>4.1500000000000004</v>
          </cell>
          <cell r="G508">
            <v>4.1500000000000004</v>
          </cell>
          <cell r="H508">
            <v>-0.16999999999999993</v>
          </cell>
          <cell r="I508">
            <v>-0.16999999999999993</v>
          </cell>
          <cell r="J508" t="str">
            <v>Y</v>
          </cell>
          <cell r="K508" t="str">
            <v>No</v>
          </cell>
        </row>
        <row r="509">
          <cell r="A509" t="str">
            <v/>
          </cell>
          <cell r="C509" t="str">
            <v/>
          </cell>
          <cell r="D509" t="str">
            <v/>
          </cell>
          <cell r="H509" t="str">
            <v/>
          </cell>
          <cell r="I509" t="str">
            <v/>
          </cell>
          <cell r="K509" t="str">
            <v/>
          </cell>
        </row>
        <row r="510">
          <cell r="A510" t="str">
            <v/>
          </cell>
          <cell r="C510" t="str">
            <v/>
          </cell>
          <cell r="D510" t="str">
            <v/>
          </cell>
          <cell r="H510" t="str">
            <v/>
          </cell>
          <cell r="I510" t="str">
            <v/>
          </cell>
          <cell r="K510" t="str">
            <v/>
          </cell>
        </row>
        <row r="512">
          <cell r="B512" t="str">
            <v>Criteria:</v>
          </cell>
          <cell r="C512" t="str">
            <v>Measured response should be greater than 0.9 of the expected values.</v>
          </cell>
        </row>
        <row r="513">
          <cell r="C513" t="str">
            <v>The fine wire-mesh should be uniformly visible throughout the image.</v>
          </cell>
        </row>
        <row r="515">
          <cell r="H515" t="str">
            <v>Acceptable:</v>
          </cell>
          <cell r="J515" t="str">
            <v>No</v>
          </cell>
        </row>
        <row r="517">
          <cell r="B517" t="str">
            <v>Comments:</v>
          </cell>
        </row>
        <row r="523">
          <cell r="B523" t="str">
            <v>Date:</v>
          </cell>
          <cell r="C523" t="str">
            <v/>
          </cell>
          <cell r="I523" t="str">
            <v>Location:</v>
          </cell>
          <cell r="J523" t="str">
            <v/>
          </cell>
        </row>
        <row r="524">
          <cell r="B524" t="str">
            <v>Medical Physicist:</v>
          </cell>
          <cell r="C524" t="str">
            <v/>
          </cell>
          <cell r="I524" t="str">
            <v>System Identification:</v>
          </cell>
          <cell r="J524" t="str">
            <v/>
          </cell>
        </row>
        <row r="526">
          <cell r="K526">
            <v>0</v>
          </cell>
        </row>
        <row r="527">
          <cell r="K527" t="str">
            <v>CR Reader and Screens</v>
          </cell>
        </row>
        <row r="528">
          <cell r="F528" t="str">
            <v>Low-Contrast Resolution and Distortion</v>
          </cell>
        </row>
        <row r="532">
          <cell r="F532" t="str">
            <v>Noise/Low-Contrast Response</v>
          </cell>
        </row>
        <row r="534">
          <cell r="B534" t="str">
            <v>Note:</v>
          </cell>
          <cell r="C534" t="str">
            <v>Use the Leeds phantom TO.12 or UAB in contact with the IP. Note if a grid is used.</v>
          </cell>
        </row>
        <row r="535">
          <cell r="C535" t="str">
            <v xml:space="preserve">For TO.12, record the threshold for Row D (4.0 mm diameter) objects as a representative of </v>
          </cell>
        </row>
        <row r="536">
          <cell r="C536" t="str">
            <v>CD behavior. For Kodak HR plates, set the level to (4096-EI+300).</v>
          </cell>
        </row>
        <row r="538">
          <cell r="B538" t="str">
            <v>Menu = TEST</v>
          </cell>
          <cell r="E538" t="str">
            <v>kVp</v>
          </cell>
          <cell r="F538" t="str">
            <v>Filtration</v>
          </cell>
          <cell r="G538" t="str">
            <v>Focal spot</v>
          </cell>
          <cell r="H538" t="str">
            <v>Time delay</v>
          </cell>
          <cell r="I538" t="str">
            <v>SID (cm)</v>
          </cell>
          <cell r="J538" t="str">
            <v>SMD (cm)</v>
          </cell>
        </row>
        <row r="539">
          <cell r="B539" t="str">
            <v>SubMenu = Contrast</v>
          </cell>
          <cell r="E539">
            <v>70</v>
          </cell>
          <cell r="F539" t="str">
            <v>2 mm Cu</v>
          </cell>
          <cell r="G539">
            <v>1.2</v>
          </cell>
          <cell r="H539" t="str">
            <v>20 min</v>
          </cell>
          <cell r="I539">
            <v>140</v>
          </cell>
          <cell r="J539">
            <v>130</v>
          </cell>
        </row>
        <row r="540">
          <cell r="B540" t="str">
            <v>L= 2, EDR = Semi</v>
          </cell>
        </row>
        <row r="542">
          <cell r="D542" t="str">
            <v>Nominal Exposure (mR)</v>
          </cell>
          <cell r="E542">
            <v>0.1</v>
          </cell>
          <cell r="F542">
            <v>1</v>
          </cell>
          <cell r="G542">
            <v>10</v>
          </cell>
        </row>
        <row r="543">
          <cell r="D543" t="str">
            <v xml:space="preserve">mAs </v>
          </cell>
          <cell r="E543">
            <v>3</v>
          </cell>
          <cell r="F543">
            <v>25</v>
          </cell>
          <cell r="G543">
            <v>250</v>
          </cell>
        </row>
        <row r="544">
          <cell r="D544" t="str">
            <v xml:space="preserve">mR-meter </v>
          </cell>
          <cell r="E544">
            <v>0.11</v>
          </cell>
          <cell r="F544">
            <v>1.84</v>
          </cell>
          <cell r="G544">
            <v>11.05</v>
          </cell>
        </row>
        <row r="545">
          <cell r="D545" t="str">
            <v>mR-plate</v>
          </cell>
          <cell r="E545">
            <v>9.4846938775510203E-2</v>
          </cell>
          <cell r="F545">
            <v>1.5865306122448981</v>
          </cell>
          <cell r="G545">
            <v>9.5278061224489807</v>
          </cell>
        </row>
        <row r="546">
          <cell r="B546" t="str">
            <v>IP</v>
          </cell>
          <cell r="C546" t="str">
            <v>IP</v>
          </cell>
          <cell r="E546" t="str">
            <v>Low Contrast Object</v>
          </cell>
          <cell r="H546" t="str">
            <v>Acceptable</v>
          </cell>
        </row>
        <row r="547">
          <cell r="B547" t="str">
            <v>Type/Size</v>
          </cell>
          <cell r="C547" t="str">
            <v>S.N.</v>
          </cell>
          <cell r="F547" t="str">
            <v>UAB - object</v>
          </cell>
          <cell r="H547" t="str">
            <v>(Yes/No)</v>
          </cell>
        </row>
        <row r="548">
          <cell r="B548" t="str">
            <v>ST 14x17</v>
          </cell>
          <cell r="C548" t="str">
            <v>Var</v>
          </cell>
          <cell r="E548" t="str">
            <v>B2 - 1.5 %</v>
          </cell>
          <cell r="F548" t="str">
            <v>A1 - 1%</v>
          </cell>
          <cell r="G548" t="str">
            <v>B1 - 0.5%</v>
          </cell>
          <cell r="H548" t="str">
            <v>Yes</v>
          </cell>
        </row>
        <row r="549">
          <cell r="B549" t="str">
            <v>ST 10x12</v>
          </cell>
          <cell r="C549" t="str">
            <v>Var</v>
          </cell>
          <cell r="E549" t="str">
            <v>A2 - 2%</v>
          </cell>
          <cell r="F549" t="str">
            <v>A1 - 1%</v>
          </cell>
          <cell r="G549" t="str">
            <v>B1 - 0.5%</v>
          </cell>
          <cell r="H549" t="str">
            <v>Yes</v>
          </cell>
        </row>
        <row r="550">
          <cell r="B550" t="str">
            <v>ST 8x10</v>
          </cell>
          <cell r="C550" t="str">
            <v>Var</v>
          </cell>
          <cell r="E550" t="str">
            <v>B3 - 2.5 %</v>
          </cell>
          <cell r="F550" t="str">
            <v>B2 - 1.5 %</v>
          </cell>
          <cell r="G550" t="str">
            <v>A1 - 1%</v>
          </cell>
          <cell r="H550" t="str">
            <v>Yes</v>
          </cell>
        </row>
        <row r="551">
          <cell r="B551" t="str">
            <v/>
          </cell>
        </row>
        <row r="552">
          <cell r="B552" t="str">
            <v/>
          </cell>
        </row>
        <row r="554">
          <cell r="B554" t="str">
            <v>Criteria:</v>
          </cell>
          <cell r="C554" t="str">
            <v>Contrast threshold should be proportional to the (exposure)^1/2 for any given</v>
          </cell>
        </row>
        <row r="555">
          <cell r="C555" t="str">
            <v>diameter object.</v>
          </cell>
        </row>
        <row r="557">
          <cell r="H557" t="str">
            <v>Acceptable:</v>
          </cell>
          <cell r="J557" t="str">
            <v>Yes</v>
          </cell>
        </row>
        <row r="558">
          <cell r="B558" t="str">
            <v>Comments:</v>
          </cell>
        </row>
        <row r="565">
          <cell r="F565" t="str">
            <v>Distortion</v>
          </cell>
        </row>
        <row r="567">
          <cell r="B567" t="str">
            <v>Note:</v>
          </cell>
          <cell r="C567" t="str">
            <v>Wire-mesh and the rulers should be in contact with the IP.</v>
          </cell>
        </row>
        <row r="569">
          <cell r="B569" t="str">
            <v>Menu = TEST</v>
          </cell>
          <cell r="E569" t="str">
            <v>kVp</v>
          </cell>
          <cell r="F569" t="str">
            <v>Filtration</v>
          </cell>
          <cell r="G569" t="str">
            <v>Focal spot</v>
          </cell>
          <cell r="H569" t="str">
            <v>SID (cm)</v>
          </cell>
          <cell r="I569" t="str">
            <v>Nom. mR</v>
          </cell>
          <cell r="J569" t="str">
            <v>mAs</v>
          </cell>
        </row>
        <row r="570">
          <cell r="B570" t="str">
            <v>SubMenu = Contrast</v>
          </cell>
          <cell r="E570">
            <v>60</v>
          </cell>
          <cell r="F570" t="str">
            <v>1 Al/0.5 Cu</v>
          </cell>
          <cell r="G570">
            <v>0.6</v>
          </cell>
          <cell r="H570">
            <v>180</v>
          </cell>
          <cell r="I570">
            <v>5</v>
          </cell>
          <cell r="J570">
            <v>70</v>
          </cell>
        </row>
        <row r="571">
          <cell r="B571" t="str">
            <v>L= 2, EDR = Semi</v>
          </cell>
        </row>
        <row r="573">
          <cell r="A573" t="str">
            <v>IP</v>
          </cell>
          <cell r="B573" t="str">
            <v>IP</v>
          </cell>
          <cell r="D573" t="str">
            <v xml:space="preserve">LSC </v>
          </cell>
          <cell r="E573" t="str">
            <v>PSC</v>
          </cell>
          <cell r="F573" t="str">
            <v xml:space="preserve">LSC </v>
          </cell>
          <cell r="G573" t="str">
            <v>PSC</v>
          </cell>
          <cell r="H573" t="str">
            <v>LSC</v>
          </cell>
          <cell r="I573" t="str">
            <v>PSC</v>
          </cell>
          <cell r="J573" t="str">
            <v>Wire-mesh</v>
          </cell>
          <cell r="K573" t="str">
            <v>Acceptable</v>
          </cell>
        </row>
        <row r="574">
          <cell r="A574" t="str">
            <v>Type/Size</v>
          </cell>
          <cell r="B574" t="str">
            <v>S.N.</v>
          </cell>
          <cell r="D574" t="str">
            <v>distance</v>
          </cell>
          <cell r="E574" t="str">
            <v>distance</v>
          </cell>
          <cell r="F574" t="str">
            <v>measured</v>
          </cell>
          <cell r="G574" t="str">
            <v>measured</v>
          </cell>
          <cell r="H574" t="str">
            <v>% diff</v>
          </cell>
          <cell r="I574" t="str">
            <v>% diff</v>
          </cell>
          <cell r="J574" t="str">
            <v>uniform (Y/N)</v>
          </cell>
          <cell r="K574" t="str">
            <v>(yes/no)</v>
          </cell>
        </row>
        <row r="575">
          <cell r="A575" t="str">
            <v>ST 14x17</v>
          </cell>
          <cell r="B575" t="str">
            <v>Var</v>
          </cell>
          <cell r="D575">
            <v>6.6</v>
          </cell>
          <cell r="E575">
            <v>6</v>
          </cell>
          <cell r="F575">
            <v>6.6</v>
          </cell>
          <cell r="G575">
            <v>6.01</v>
          </cell>
          <cell r="H575">
            <v>0</v>
          </cell>
          <cell r="I575">
            <v>9.9999999999997868E-3</v>
          </cell>
          <cell r="J575" t="str">
            <v>Y</v>
          </cell>
          <cell r="K575" t="str">
            <v>Yes</v>
          </cell>
        </row>
        <row r="576">
          <cell r="A576" t="str">
            <v>ST 10x12</v>
          </cell>
          <cell r="B576" t="str">
            <v>Var</v>
          </cell>
          <cell r="D576">
            <v>6.6</v>
          </cell>
          <cell r="E576">
            <v>6</v>
          </cell>
          <cell r="F576">
            <v>6.61</v>
          </cell>
          <cell r="G576">
            <v>6</v>
          </cell>
          <cell r="H576">
            <v>1.0000000000000675E-2</v>
          </cell>
          <cell r="I576">
            <v>0</v>
          </cell>
          <cell r="J576" t="str">
            <v>Y</v>
          </cell>
          <cell r="K576" t="str">
            <v>Yes</v>
          </cell>
        </row>
        <row r="577">
          <cell r="A577" t="str">
            <v>ST 8x10</v>
          </cell>
          <cell r="B577" t="str">
            <v>Var</v>
          </cell>
          <cell r="D577">
            <v>6</v>
          </cell>
          <cell r="E577">
            <v>6.6</v>
          </cell>
          <cell r="F577">
            <v>6</v>
          </cell>
          <cell r="G577">
            <v>6.59</v>
          </cell>
          <cell r="H577">
            <v>0</v>
          </cell>
          <cell r="I577">
            <v>-9.9999999999997868E-3</v>
          </cell>
          <cell r="J577" t="str">
            <v>Y</v>
          </cell>
          <cell r="K577" t="str">
            <v>Yes</v>
          </cell>
        </row>
        <row r="579">
          <cell r="B579" t="str">
            <v>Criteria:</v>
          </cell>
          <cell r="C579" t="str">
            <v>Distortion should be less than 0.02.</v>
          </cell>
        </row>
        <row r="580">
          <cell r="H580" t="str">
            <v>Acceptable:</v>
          </cell>
          <cell r="J580" t="str">
            <v>Yes</v>
          </cell>
        </row>
        <row r="581">
          <cell r="B581" t="str">
            <v>Comments:</v>
          </cell>
        </row>
        <row r="586">
          <cell r="B586" t="str">
            <v>Date:</v>
          </cell>
          <cell r="C586" t="str">
            <v/>
          </cell>
          <cell r="I586" t="str">
            <v>Location:</v>
          </cell>
          <cell r="J586" t="str">
            <v/>
          </cell>
        </row>
        <row r="587">
          <cell r="B587" t="str">
            <v>Medical Physicist:</v>
          </cell>
          <cell r="C587" t="str">
            <v/>
          </cell>
          <cell r="I587" t="str">
            <v>System Identification:</v>
          </cell>
          <cell r="J587" t="str">
            <v/>
          </cell>
        </row>
        <row r="589">
          <cell r="K589">
            <v>0</v>
          </cell>
        </row>
        <row r="590">
          <cell r="K590" t="str">
            <v>CR Reader and Screens</v>
          </cell>
        </row>
        <row r="591">
          <cell r="F591" t="str">
            <v>Erasure Thoroughness and Anti-aliasing</v>
          </cell>
        </row>
        <row r="595">
          <cell r="F595" t="str">
            <v>Erasure Thoroughness</v>
          </cell>
        </row>
        <row r="597">
          <cell r="B597" t="str">
            <v>Note:</v>
          </cell>
          <cell r="C597" t="str">
            <v>The second exposure should be uniform with the using a slightly smaller collimated area.</v>
          </cell>
        </row>
        <row r="599">
          <cell r="B599" t="str">
            <v>Menu = TEST</v>
          </cell>
          <cell r="F599" t="str">
            <v>kVp</v>
          </cell>
          <cell r="G599" t="str">
            <v>Filtration</v>
          </cell>
          <cell r="H599" t="str">
            <v>Focal spot</v>
          </cell>
          <cell r="I599" t="str">
            <v>SID (cm)</v>
          </cell>
        </row>
        <row r="600">
          <cell r="B600" t="str">
            <v>SubMenu = Sensitivity</v>
          </cell>
          <cell r="F600">
            <v>80</v>
          </cell>
          <cell r="G600" t="str">
            <v>none</v>
          </cell>
          <cell r="H600" t="str">
            <v>1.2 mm</v>
          </cell>
          <cell r="I600">
            <v>140</v>
          </cell>
        </row>
        <row r="601">
          <cell r="B601" t="str">
            <v>L= 1, EDR = Semi</v>
          </cell>
        </row>
        <row r="602">
          <cell r="F602" t="str">
            <v>First Exposure</v>
          </cell>
          <cell r="I602" t="str">
            <v>Second Exposure</v>
          </cell>
        </row>
        <row r="603">
          <cell r="B603" t="str">
            <v>IP Type/Size</v>
          </cell>
          <cell r="C603" t="str">
            <v>ST 14x17</v>
          </cell>
          <cell r="F603" t="str">
            <v>mAs</v>
          </cell>
          <cell r="G603" t="str">
            <v>mR</v>
          </cell>
          <cell r="I603" t="str">
            <v>mAs</v>
          </cell>
          <cell r="J603" t="str">
            <v>mR</v>
          </cell>
        </row>
        <row r="604">
          <cell r="B604" t="str">
            <v>IP S.N.</v>
          </cell>
          <cell r="C604" t="str">
            <v>Variable</v>
          </cell>
          <cell r="F604">
            <v>50</v>
          </cell>
          <cell r="G604">
            <v>150</v>
          </cell>
          <cell r="I604">
            <v>0.5</v>
          </cell>
          <cell r="J604">
            <v>1</v>
          </cell>
        </row>
        <row r="605">
          <cell r="E605" t="str">
            <v>Object:</v>
          </cell>
          <cell r="F605" t="str">
            <v>3 mm Pb square.</v>
          </cell>
        </row>
        <row r="607">
          <cell r="F607" t="str">
            <v>Is the image free of any "ghost" image after erasure?</v>
          </cell>
          <cell r="G607" t="str">
            <v>Yes*</v>
          </cell>
        </row>
        <row r="610">
          <cell r="B610" t="str">
            <v>Criteria:</v>
          </cell>
          <cell r="C610" t="str">
            <v>No "ghost" image should be visible on the second image.</v>
          </cell>
        </row>
        <row r="612">
          <cell r="H612" t="str">
            <v>Acceptable:</v>
          </cell>
          <cell r="J612" t="str">
            <v>Yes*</v>
          </cell>
        </row>
        <row r="613">
          <cell r="B613" t="str">
            <v>Comments:</v>
          </cell>
        </row>
        <row r="614">
          <cell r="B614" t="str">
            <v>*Secondary erasure is not recommended. A shadow of the object was visible after a secondary erasure.</v>
          </cell>
        </row>
        <row r="618">
          <cell r="F618" t="str">
            <v>Anti-Aliasing</v>
          </cell>
        </row>
        <row r="620">
          <cell r="B620" t="str">
            <v>Note:</v>
          </cell>
          <cell r="C620" t="str">
            <v>Use a grid with at least 100 ln/in. Inspect the image for any oscillating patterns.</v>
          </cell>
        </row>
        <row r="622">
          <cell r="B622" t="str">
            <v>Menu = TEST</v>
          </cell>
          <cell r="E622" t="str">
            <v>kVp</v>
          </cell>
          <cell r="F622" t="str">
            <v>Filtration</v>
          </cell>
          <cell r="G622" t="str">
            <v>Focal spot</v>
          </cell>
          <cell r="H622" t="str">
            <v>SID (cm)</v>
          </cell>
          <cell r="I622" t="str">
            <v>Nom. mR</v>
          </cell>
          <cell r="J622" t="str">
            <v>mAs</v>
          </cell>
        </row>
        <row r="623">
          <cell r="B623" t="str">
            <v>SubMenu = Contrast</v>
          </cell>
          <cell r="E623">
            <v>80</v>
          </cell>
          <cell r="F623" t="str">
            <v>1 Al/0.5 Cu</v>
          </cell>
          <cell r="G623" t="str">
            <v>1.2 mm</v>
          </cell>
          <cell r="H623">
            <v>180</v>
          </cell>
          <cell r="I623">
            <v>1</v>
          </cell>
          <cell r="J623">
            <v>5</v>
          </cell>
        </row>
        <row r="624">
          <cell r="B624" t="str">
            <v>L= 2, EDR = Semi</v>
          </cell>
        </row>
        <row r="626">
          <cell r="E626" t="str">
            <v>Stationary Grid</v>
          </cell>
          <cell r="G626" t="str">
            <v>Moving Grid</v>
          </cell>
        </row>
        <row r="627">
          <cell r="E627" t="str">
            <v>Grid ratio</v>
          </cell>
          <cell r="F627" t="str">
            <v>10:1</v>
          </cell>
          <cell r="G627" t="str">
            <v>Grid ratio</v>
          </cell>
          <cell r="H627" t="str">
            <v>10:1</v>
          </cell>
        </row>
        <row r="628">
          <cell r="E628" t="str">
            <v>Grid freq.</v>
          </cell>
          <cell r="F628" t="str">
            <v>103</v>
          </cell>
          <cell r="G628" t="str">
            <v>Grid freq.</v>
          </cell>
          <cell r="H628" t="str">
            <v>103</v>
          </cell>
        </row>
        <row r="629">
          <cell r="D629" t="str">
            <v>IP</v>
          </cell>
          <cell r="E629" t="str">
            <v>Grid Direction wrt LSC</v>
          </cell>
          <cell r="G629" t="str">
            <v>Grid Direction wrt LSC</v>
          </cell>
        </row>
        <row r="630">
          <cell r="D630" t="str">
            <v>Type/Size</v>
          </cell>
          <cell r="E630" t="str">
            <v>Perp.</v>
          </cell>
          <cell r="F630" t="str">
            <v>Parallel</v>
          </cell>
          <cell r="G630" t="str">
            <v>Perp.</v>
          </cell>
          <cell r="H630" t="str">
            <v>Parallel</v>
          </cell>
        </row>
        <row r="631">
          <cell r="D631" t="str">
            <v>ST 14x17</v>
          </cell>
          <cell r="E631" t="str">
            <v>N</v>
          </cell>
          <cell r="F631" t="str">
            <v>Y</v>
          </cell>
          <cell r="G631" t="str">
            <v>N</v>
          </cell>
          <cell r="H631" t="str">
            <v>N</v>
          </cell>
        </row>
        <row r="632">
          <cell r="D632" t="str">
            <v>ST 10x12</v>
          </cell>
          <cell r="E632" t="str">
            <v>N</v>
          </cell>
          <cell r="F632" t="str">
            <v>Y</v>
          </cell>
          <cell r="G632" t="str">
            <v>N</v>
          </cell>
          <cell r="H632" t="str">
            <v>N</v>
          </cell>
        </row>
        <row r="634">
          <cell r="B634" t="str">
            <v>Criteria:</v>
          </cell>
          <cell r="C634" t="str">
            <v>Oscillating patterns (Moiré) may only be visible with stationary grid in the parallel direction.</v>
          </cell>
        </row>
        <row r="636">
          <cell r="H636" t="str">
            <v>Acceptable:</v>
          </cell>
          <cell r="J636" t="str">
            <v>Yes</v>
          </cell>
        </row>
        <row r="638">
          <cell r="B638" t="str">
            <v>Comments:</v>
          </cell>
        </row>
        <row r="649">
          <cell r="B649" t="str">
            <v>Date:</v>
          </cell>
          <cell r="C649" t="str">
            <v/>
          </cell>
          <cell r="I649" t="str">
            <v>Location:</v>
          </cell>
          <cell r="J649" t="str">
            <v/>
          </cell>
        </row>
        <row r="650">
          <cell r="B650" t="str">
            <v>Medical Physicist:</v>
          </cell>
          <cell r="C650" t="str">
            <v/>
          </cell>
          <cell r="I650" t="str">
            <v>System Identification:</v>
          </cell>
          <cell r="J650" t="str">
            <v/>
          </cell>
        </row>
        <row r="652">
          <cell r="K652">
            <v>0</v>
          </cell>
        </row>
        <row r="653">
          <cell r="K653" t="str">
            <v>CR Reader and Screens</v>
          </cell>
        </row>
        <row r="654">
          <cell r="F654" t="str">
            <v>Positioning, Collimation, and Throughput</v>
          </cell>
        </row>
        <row r="658">
          <cell r="F658" t="str">
            <v>Positioning and Collimation Errors</v>
          </cell>
        </row>
        <row r="660">
          <cell r="B660" t="str">
            <v>Note:</v>
          </cell>
          <cell r="C660" t="str">
            <v>Use anthropomorphic phantoms with various combination of collimation and EDR.</v>
          </cell>
        </row>
        <row r="662">
          <cell r="A662" t="str">
            <v>Phantom</v>
          </cell>
          <cell r="C662" t="str">
            <v xml:space="preserve">Processed </v>
          </cell>
          <cell r="E662" t="str">
            <v>kVp</v>
          </cell>
          <cell r="F662" t="str">
            <v>mAs</v>
          </cell>
          <cell r="G662" t="str">
            <v>IP</v>
          </cell>
          <cell r="H662" t="str">
            <v>Grid</v>
          </cell>
          <cell r="I662" t="str">
            <v>Collimation</v>
          </cell>
          <cell r="J662" t="str">
            <v>Feature</v>
          </cell>
          <cell r="K662" t="str">
            <v>Acceptable</v>
          </cell>
        </row>
        <row r="663">
          <cell r="A663" t="str">
            <v>L Spine AP</v>
          </cell>
          <cell r="C663" t="str">
            <v>L Spine AP</v>
          </cell>
          <cell r="E663">
            <v>80</v>
          </cell>
          <cell r="F663">
            <v>40</v>
          </cell>
          <cell r="G663" t="str">
            <v>ST 14x17</v>
          </cell>
          <cell r="H663" t="str">
            <v>10:1</v>
          </cell>
          <cell r="I663" t="str">
            <v>none</v>
          </cell>
          <cell r="K663" t="str">
            <v>Yes</v>
          </cell>
        </row>
        <row r="664">
          <cell r="A664" t="str">
            <v>L Spine Lat</v>
          </cell>
          <cell r="C664" t="str">
            <v>L Spine Lat</v>
          </cell>
          <cell r="E664">
            <v>90</v>
          </cell>
          <cell r="F664">
            <v>40</v>
          </cell>
          <cell r="G664" t="str">
            <v>ST 14x17</v>
          </cell>
          <cell r="H664" t="str">
            <v>10:1</v>
          </cell>
          <cell r="I664" t="str">
            <v>none</v>
          </cell>
          <cell r="K664" t="str">
            <v>Yes</v>
          </cell>
        </row>
        <row r="665">
          <cell r="A665" t="str">
            <v>knee, AP</v>
          </cell>
          <cell r="C665" t="str">
            <v>knee, AP</v>
          </cell>
          <cell r="E665">
            <v>70</v>
          </cell>
          <cell r="F665">
            <v>5</v>
          </cell>
          <cell r="G665" t="str">
            <v>ST 10x12</v>
          </cell>
          <cell r="H665" t="str">
            <v>none</v>
          </cell>
          <cell r="I665" t="str">
            <v>none</v>
          </cell>
          <cell r="K665" t="str">
            <v>Yes</v>
          </cell>
        </row>
        <row r="666">
          <cell r="A666" t="str">
            <v>knee, Lat</v>
          </cell>
          <cell r="C666" t="str">
            <v>knee, Lat</v>
          </cell>
          <cell r="E666">
            <v>70</v>
          </cell>
          <cell r="F666">
            <v>5</v>
          </cell>
          <cell r="G666" t="str">
            <v>ST 10x12</v>
          </cell>
          <cell r="H666" t="str">
            <v>none</v>
          </cell>
          <cell r="I666" t="str">
            <v>none</v>
          </cell>
          <cell r="K666" t="str">
            <v>Yes</v>
          </cell>
        </row>
        <row r="667">
          <cell r="A667" t="str">
            <v>Skull AP</v>
          </cell>
          <cell r="C667" t="str">
            <v>Skull AP</v>
          </cell>
          <cell r="E667">
            <v>80</v>
          </cell>
          <cell r="F667">
            <v>18</v>
          </cell>
          <cell r="G667" t="str">
            <v>ST 8x10</v>
          </cell>
          <cell r="H667" t="str">
            <v>none</v>
          </cell>
          <cell r="I667" t="str">
            <v>none</v>
          </cell>
          <cell r="K667" t="str">
            <v>Yes</v>
          </cell>
        </row>
        <row r="668">
          <cell r="A668" t="str">
            <v>Skull Lat</v>
          </cell>
          <cell r="C668" t="str">
            <v>Skull Lat</v>
          </cell>
          <cell r="E668">
            <v>80</v>
          </cell>
          <cell r="F668">
            <v>15</v>
          </cell>
          <cell r="G668" t="str">
            <v>ST 10x12</v>
          </cell>
          <cell r="H668" t="str">
            <v>none</v>
          </cell>
          <cell r="I668" t="str">
            <v>none</v>
          </cell>
          <cell r="K668" t="str">
            <v>Yes</v>
          </cell>
        </row>
        <row r="669">
          <cell r="A669" t="str">
            <v>Hand</v>
          </cell>
          <cell r="C669" t="str">
            <v>Hand</v>
          </cell>
          <cell r="E669">
            <v>60</v>
          </cell>
          <cell r="F669">
            <v>1.75</v>
          </cell>
          <cell r="G669" t="str">
            <v>ST 8x10</v>
          </cell>
          <cell r="H669" t="str">
            <v>none</v>
          </cell>
          <cell r="I669" t="str">
            <v>rectangular</v>
          </cell>
          <cell r="K669" t="str">
            <v>Yes</v>
          </cell>
        </row>
        <row r="670">
          <cell r="A670" t="str">
            <v>Hand</v>
          </cell>
          <cell r="C670" t="str">
            <v>Hand</v>
          </cell>
          <cell r="E670">
            <v>60</v>
          </cell>
          <cell r="F670">
            <v>1.75</v>
          </cell>
          <cell r="G670" t="str">
            <v>ST 8x10</v>
          </cell>
          <cell r="H670" t="str">
            <v>none</v>
          </cell>
          <cell r="I670" t="str">
            <v>rectangular</v>
          </cell>
          <cell r="J670" t="str">
            <v>angled</v>
          </cell>
          <cell r="K670" t="str">
            <v>Yes</v>
          </cell>
        </row>
        <row r="671">
          <cell r="A671" t="str">
            <v>Hand</v>
          </cell>
          <cell r="C671" t="str">
            <v>Hand</v>
          </cell>
          <cell r="E671">
            <v>60</v>
          </cell>
          <cell r="F671">
            <v>1.75</v>
          </cell>
          <cell r="G671" t="str">
            <v>ST 10x12</v>
          </cell>
          <cell r="H671" t="str">
            <v>none</v>
          </cell>
          <cell r="I671" t="str">
            <v>rectangular</v>
          </cell>
          <cell r="J671" t="str">
            <v>2:1</v>
          </cell>
          <cell r="K671" t="str">
            <v>Yes</v>
          </cell>
        </row>
        <row r="682">
          <cell r="B682" t="str">
            <v>Criteria:</v>
          </cell>
          <cell r="C682" t="str">
            <v>All anatomical regions should be imaged without histogram analysis errors.</v>
          </cell>
        </row>
        <row r="684">
          <cell r="H684" t="str">
            <v>Acceptable:</v>
          </cell>
          <cell r="J684" t="str">
            <v>Yes</v>
          </cell>
        </row>
        <row r="686">
          <cell r="B686" t="str">
            <v>Comments:</v>
          </cell>
        </row>
        <row r="691">
          <cell r="F691" t="str">
            <v>Throughput</v>
          </cell>
        </row>
        <row r="693">
          <cell r="B693" t="str">
            <v>Note:</v>
          </cell>
          <cell r="C693" t="str">
            <v>Process a number of unexposed plates sequentially with no time delay in between.</v>
          </cell>
        </row>
        <row r="695">
          <cell r="B695" t="str">
            <v>kVp</v>
          </cell>
          <cell r="C695" t="str">
            <v>Filtration</v>
          </cell>
          <cell r="D695" t="str">
            <v>Focal spot</v>
          </cell>
          <cell r="E695" t="str">
            <v>SID (cm)</v>
          </cell>
          <cell r="F695" t="str">
            <v>Nom. mR</v>
          </cell>
          <cell r="G695" t="str">
            <v>mAs</v>
          </cell>
        </row>
        <row r="696">
          <cell r="B696">
            <v>80</v>
          </cell>
          <cell r="C696" t="str">
            <v>1 Al/0.5 Cu</v>
          </cell>
          <cell r="D696" t="str">
            <v>1.2 mm</v>
          </cell>
          <cell r="E696">
            <v>140</v>
          </cell>
          <cell r="F696">
            <v>10</v>
          </cell>
          <cell r="G696">
            <v>30</v>
          </cell>
        </row>
        <row r="698">
          <cell r="C698" t="str">
            <v xml:space="preserve">No of </v>
          </cell>
          <cell r="D698" t="str">
            <v>Processing</v>
          </cell>
          <cell r="E698" t="str">
            <v>Measured</v>
          </cell>
          <cell r="F698" t="str">
            <v xml:space="preserve">Specified </v>
          </cell>
          <cell r="G698" t="str">
            <v xml:space="preserve">Percent </v>
          </cell>
        </row>
        <row r="699">
          <cell r="C699" t="str">
            <v>Plates</v>
          </cell>
          <cell r="D699" t="str">
            <v>Time (min)</v>
          </cell>
          <cell r="E699" t="str">
            <v>Throughput</v>
          </cell>
          <cell r="F699" t="str">
            <v>Throughput</v>
          </cell>
          <cell r="G699" t="str">
            <v>Deviation</v>
          </cell>
        </row>
        <row r="700">
          <cell r="B700" t="str">
            <v>CR reader</v>
          </cell>
          <cell r="C700">
            <v>4</v>
          </cell>
          <cell r="D700">
            <v>2.6666666666666665</v>
          </cell>
          <cell r="E700">
            <v>90</v>
          </cell>
          <cell r="F700">
            <v>70</v>
          </cell>
          <cell r="G700">
            <v>0.2857142857142857</v>
          </cell>
        </row>
        <row r="701">
          <cell r="B701" t="str">
            <v>+ printer</v>
          </cell>
          <cell r="C701">
            <v>4</v>
          </cell>
          <cell r="D701">
            <v>4.666666666666667</v>
          </cell>
          <cell r="E701">
            <v>51.428571428571423</v>
          </cell>
          <cell r="F701">
            <v>50</v>
          </cell>
          <cell r="G701">
            <v>2.857142857142847E-2</v>
          </cell>
        </row>
        <row r="703">
          <cell r="B703" t="str">
            <v>Criteria:</v>
          </cell>
          <cell r="C703" t="str">
            <v>Throughput should be more than 0.9 of the sysem's specificaions.</v>
          </cell>
        </row>
        <row r="705">
          <cell r="H705" t="str">
            <v>Acceptable:</v>
          </cell>
          <cell r="J705" t="str">
            <v>Yes</v>
          </cell>
        </row>
        <row r="707">
          <cell r="B707" t="str">
            <v>Comments:</v>
          </cell>
        </row>
        <row r="712">
          <cell r="B712" t="str">
            <v>Date:</v>
          </cell>
          <cell r="C712" t="str">
            <v/>
          </cell>
          <cell r="I712" t="str">
            <v>Location:</v>
          </cell>
          <cell r="J712" t="str">
            <v/>
          </cell>
        </row>
        <row r="713">
          <cell r="B713" t="str">
            <v>Medical Physicist:</v>
          </cell>
          <cell r="C713" t="str">
            <v/>
          </cell>
          <cell r="I713" t="str">
            <v>System Identification:</v>
          </cell>
          <cell r="J713" t="str">
            <v/>
          </cell>
        </row>
      </sheetData>
      <sheetData sheetId="1">
        <row r="1">
          <cell r="K1">
            <v>0</v>
          </cell>
        </row>
        <row r="2">
          <cell r="K2" t="str">
            <v>Display Monitor Performance</v>
          </cell>
        </row>
        <row r="3">
          <cell r="F3" t="str">
            <v>Inspection Results Summary</v>
          </cell>
        </row>
        <row r="6">
          <cell r="I6" t="str">
            <v>Acceptable</v>
          </cell>
        </row>
        <row r="7">
          <cell r="A7" t="str">
            <v>1.</v>
          </cell>
          <cell r="B7" t="str">
            <v>Luminance Response</v>
          </cell>
          <cell r="I7" t="str">
            <v>TBD*</v>
          </cell>
        </row>
        <row r="8">
          <cell r="A8" t="str">
            <v>2.</v>
          </cell>
          <cell r="B8" t="str">
            <v>Spatial Resolution</v>
          </cell>
          <cell r="I8" t="str">
            <v>Yes*</v>
          </cell>
        </row>
        <row r="9">
          <cell r="A9" t="str">
            <v>3.</v>
          </cell>
          <cell r="B9" t="str">
            <v>Geometrical Distortions</v>
          </cell>
          <cell r="I9" t="str">
            <v>Yes</v>
          </cell>
        </row>
        <row r="10">
          <cell r="A10" t="str">
            <v>4.</v>
          </cell>
          <cell r="B10" t="str">
            <v>Display Artifacts</v>
          </cell>
          <cell r="I10" t="str">
            <v>Yes</v>
          </cell>
        </row>
        <row r="11">
          <cell r="A11" t="str">
            <v>5.</v>
          </cell>
          <cell r="B11" t="str">
            <v>Glare</v>
          </cell>
          <cell r="I11" t="str">
            <v>Yes</v>
          </cell>
        </row>
        <row r="12">
          <cell r="A12" t="str">
            <v>6.</v>
          </cell>
          <cell r="B12" t="str">
            <v>Ambient Light Reflection</v>
          </cell>
          <cell r="I12" t="str">
            <v>NA</v>
          </cell>
        </row>
        <row r="20">
          <cell r="B20" t="str">
            <v>Comments:</v>
          </cell>
        </row>
        <row r="21">
          <cell r="A21" t="str">
            <v>1.</v>
          </cell>
          <cell r="B21" t="str">
            <v>*The test was performed with the image of a Al step wedge since the SMPTE pattern was not available at the</v>
          </cell>
        </row>
        <row r="22">
          <cell r="B22" t="str">
            <v>time of the testing. The performance of the luminance meter was unsatisfactory at low luminance values.</v>
          </cell>
        </row>
        <row r="23">
          <cell r="B23" t="str">
            <v>This test should be repeated with the SPMTE pattern and a reliable luminance-meter.</v>
          </cell>
        </row>
        <row r="24">
          <cell r="A24" t="str">
            <v>2.</v>
          </cell>
          <cell r="B24" t="str">
            <v>*Since the SMPTE pattern was not available, a wire-mesh image was used for preliminary evaluation of</v>
          </cell>
        </row>
        <row r="25">
          <cell r="B25" t="str">
            <v>the system.  The system needs to be fully evaluated with a SMPTE test pattern.</v>
          </cell>
        </row>
        <row r="27">
          <cell r="A27" t="str">
            <v>3.</v>
          </cell>
          <cell r="B27" t="str">
            <v/>
          </cell>
        </row>
        <row r="28">
          <cell r="B28" t="str">
            <v/>
          </cell>
        </row>
        <row r="30">
          <cell r="A30" t="str">
            <v>4.</v>
          </cell>
          <cell r="B30" t="str">
            <v/>
          </cell>
        </row>
        <row r="31">
          <cell r="B31" t="str">
            <v/>
          </cell>
        </row>
        <row r="33">
          <cell r="A33" t="str">
            <v>5.</v>
          </cell>
          <cell r="B33" t="str">
            <v xml:space="preserve">179% mag gave the desired size of the "quarter". Measurement was not precise due to the luminance meter.  </v>
          </cell>
        </row>
        <row r="34">
          <cell r="B34" t="str">
            <v>Glare test may be repeated with a more accurate luminance meter.</v>
          </cell>
        </row>
        <row r="36">
          <cell r="A36" t="str">
            <v>6.</v>
          </cell>
          <cell r="B36" t="str">
            <v/>
          </cell>
        </row>
        <row r="37">
          <cell r="B37" t="str">
            <v/>
          </cell>
        </row>
        <row r="39">
          <cell r="A39" t="str">
            <v>Other:</v>
          </cell>
        </row>
        <row r="62">
          <cell r="B62" t="str">
            <v>Date:</v>
          </cell>
          <cell r="C62" t="str">
            <v/>
          </cell>
          <cell r="I62" t="str">
            <v>Location:</v>
          </cell>
          <cell r="J62" t="str">
            <v/>
          </cell>
        </row>
        <row r="63">
          <cell r="B63" t="str">
            <v>Medical Physicist:</v>
          </cell>
          <cell r="C63" t="str">
            <v/>
          </cell>
          <cell r="I63" t="str">
            <v>System Identification:</v>
          </cell>
          <cell r="J63" t="str">
            <v/>
          </cell>
        </row>
        <row r="64">
          <cell r="K64">
            <v>0</v>
          </cell>
        </row>
        <row r="65">
          <cell r="K65" t="str">
            <v>Display Monitor Performance</v>
          </cell>
        </row>
        <row r="66">
          <cell r="F66" t="str">
            <v>Luminance Response</v>
          </cell>
        </row>
        <row r="70">
          <cell r="B70" t="str">
            <v>Note:</v>
          </cell>
          <cell r="C70" t="str">
            <v>Measure the luminance of the steps in the SMPTE pattern</v>
          </cell>
        </row>
        <row r="71">
          <cell r="C71" t="str">
            <v>For testing equalization, measure the luminance of the 20% and 90% steps of the SMPTE pattern</v>
          </cell>
        </row>
        <row r="72">
          <cell r="C72" t="str">
            <v>as the steps are displayed with various brightness surroundings.</v>
          </cell>
        </row>
        <row r="74">
          <cell r="B74" t="str">
            <v>Light-meter Specifications</v>
          </cell>
        </row>
        <row r="75">
          <cell r="C75" t="str">
            <v>Manufacturer:</v>
          </cell>
          <cell r="D75" t="str">
            <v>Quantum Instruments</v>
          </cell>
        </row>
        <row r="76">
          <cell r="C76" t="str">
            <v>Model:</v>
          </cell>
          <cell r="D76" t="str">
            <v>Photometer LX</v>
          </cell>
        </row>
        <row r="77">
          <cell r="C77" t="str">
            <v>Probe:</v>
          </cell>
          <cell r="D77" t="str">
            <v>[attached]</v>
          </cell>
        </row>
        <row r="79">
          <cell r="C79" t="str">
            <v>Settings</v>
          </cell>
          <cell r="H79" t="str">
            <v>SMPTE Visual Check</v>
          </cell>
        </row>
        <row r="80">
          <cell r="B80" t="str">
            <v>NA</v>
          </cell>
          <cell r="C80" t="str">
            <v>Brightness setting</v>
          </cell>
          <cell r="G80" t="str">
            <v>TBD</v>
          </cell>
          <cell r="H80" t="str">
            <v>Is 5% patch distinguishable?</v>
          </cell>
        </row>
        <row r="81">
          <cell r="B81" t="str">
            <v>NA</v>
          </cell>
          <cell r="C81" t="str">
            <v>Contrast setting</v>
          </cell>
          <cell r="G81" t="str">
            <v>TBD</v>
          </cell>
          <cell r="H81" t="str">
            <v>Is 95% patch distinguishable?</v>
          </cell>
        </row>
        <row r="82">
          <cell r="B82" t="str">
            <v>NA</v>
          </cell>
          <cell r="C82" t="str">
            <v>Brightness setting deactivated?</v>
          </cell>
        </row>
        <row r="83">
          <cell r="B83" t="str">
            <v>NA</v>
          </cell>
          <cell r="C83" t="str">
            <v>Contrast setting deactivated?</v>
          </cell>
          <cell r="G83" t="str">
            <v>Yes</v>
          </cell>
          <cell r="H83" t="str">
            <v>Display equalization absent?</v>
          </cell>
        </row>
        <row r="84">
          <cell r="B84" t="str">
            <v>NA</v>
          </cell>
          <cell r="C84" t="str">
            <v>Ambient light sensor deactivated?</v>
          </cell>
        </row>
        <row r="86">
          <cell r="A86" t="str">
            <v>Px value (%)</v>
          </cell>
          <cell r="B86" t="str">
            <v>cd/m2</v>
          </cell>
          <cell r="C86" t="str">
            <v>JND</v>
          </cell>
        </row>
        <row r="87">
          <cell r="A87">
            <v>0</v>
          </cell>
          <cell r="B87">
            <v>0.5</v>
          </cell>
          <cell r="C87">
            <v>46.557825811532844</v>
          </cell>
        </row>
        <row r="88">
          <cell r="A88">
            <v>100</v>
          </cell>
          <cell r="B88">
            <v>175.3</v>
          </cell>
          <cell r="C88">
            <v>553.50430770418825</v>
          </cell>
        </row>
        <row r="89">
          <cell r="B89" t="str">
            <v>d(JND)</v>
          </cell>
          <cell r="C89">
            <v>506.94648189265541</v>
          </cell>
        </row>
        <row r="91">
          <cell r="A91" t="str">
            <v>Px value (%)</v>
          </cell>
          <cell r="B91" t="str">
            <v>JND</v>
          </cell>
          <cell r="C91" t="str">
            <v>Measured</v>
          </cell>
        </row>
        <row r="92">
          <cell r="A92">
            <v>0</v>
          </cell>
          <cell r="B92">
            <v>46.557825811532844</v>
          </cell>
          <cell r="C92">
            <v>0.5</v>
          </cell>
        </row>
        <row r="93">
          <cell r="A93">
            <v>10</v>
          </cell>
          <cell r="B93">
            <v>97.252474000798387</v>
          </cell>
          <cell r="C93">
            <v>0.5</v>
          </cell>
        </row>
        <row r="94">
          <cell r="A94">
            <v>20</v>
          </cell>
          <cell r="B94">
            <v>147.94712219006394</v>
          </cell>
          <cell r="C94">
            <v>0.5</v>
          </cell>
        </row>
        <row r="95">
          <cell r="A95">
            <v>30</v>
          </cell>
          <cell r="B95">
            <v>198.64177037932944</v>
          </cell>
          <cell r="C95">
            <v>1</v>
          </cell>
        </row>
        <row r="96">
          <cell r="A96">
            <v>40</v>
          </cell>
          <cell r="B96">
            <v>249.33641856859501</v>
          </cell>
          <cell r="C96">
            <v>1.7</v>
          </cell>
        </row>
        <row r="97">
          <cell r="A97">
            <v>50</v>
          </cell>
          <cell r="B97">
            <v>300.03106675786057</v>
          </cell>
          <cell r="C97">
            <v>4</v>
          </cell>
        </row>
        <row r="98">
          <cell r="A98">
            <v>60</v>
          </cell>
          <cell r="B98">
            <v>350.72571494712605</v>
          </cell>
          <cell r="C98">
            <v>12</v>
          </cell>
        </row>
        <row r="99">
          <cell r="A99">
            <v>70</v>
          </cell>
          <cell r="B99">
            <v>401.42036313639159</v>
          </cell>
          <cell r="C99">
            <v>21</v>
          </cell>
        </row>
        <row r="100">
          <cell r="A100">
            <v>80</v>
          </cell>
          <cell r="B100">
            <v>452.11501132565718</v>
          </cell>
          <cell r="C100">
            <v>47</v>
          </cell>
        </row>
        <row r="101">
          <cell r="A101">
            <v>90</v>
          </cell>
          <cell r="B101">
            <v>502.80965951492271</v>
          </cell>
          <cell r="C101">
            <v>104</v>
          </cell>
        </row>
        <row r="102">
          <cell r="A102">
            <v>100</v>
          </cell>
          <cell r="B102">
            <v>553.50430770418825</v>
          </cell>
          <cell r="C102">
            <v>175.3</v>
          </cell>
        </row>
        <row r="112">
          <cell r="B112" t="str">
            <v>Criteria:</v>
          </cell>
          <cell r="C112" t="str">
            <v>There should be a general agreement between display's response and the standard.</v>
          </cell>
        </row>
        <row r="113">
          <cell r="C113" t="str">
            <v>Brightness, contrast, and ambient light sensors should be deactivated.</v>
          </cell>
        </row>
        <row r="114">
          <cell r="C114" t="str">
            <v>50% and 95% patches of the SMPTE pattern should be visible.</v>
          </cell>
        </row>
        <row r="116">
          <cell r="H116" t="str">
            <v>Acceptable:</v>
          </cell>
          <cell r="J116" t="str">
            <v>TBD*</v>
          </cell>
        </row>
        <row r="118">
          <cell r="B118" t="str">
            <v>Comments:</v>
          </cell>
        </row>
        <row r="119">
          <cell r="B119" t="str">
            <v>*The test was performed with the image of a Al step wedge since the SMPTE pattern was not available at the</v>
          </cell>
        </row>
        <row r="120">
          <cell r="B120" t="str">
            <v>time of the testing. The performance of the luminance meter was unsatisfactory at low luminance values.</v>
          </cell>
        </row>
        <row r="121">
          <cell r="B121" t="str">
            <v>This test should be repeated with the SPMTE pattern and a reliable luminance-meter.</v>
          </cell>
        </row>
        <row r="124">
          <cell r="B124" t="str">
            <v>Date:</v>
          </cell>
          <cell r="C124" t="str">
            <v/>
          </cell>
          <cell r="I124" t="str">
            <v>Location:</v>
          </cell>
          <cell r="J124" t="str">
            <v/>
          </cell>
        </row>
        <row r="125">
          <cell r="B125" t="str">
            <v>Medical Physicist:</v>
          </cell>
          <cell r="C125" t="str">
            <v/>
          </cell>
          <cell r="I125" t="str">
            <v>System Identification:</v>
          </cell>
          <cell r="J125" t="str">
            <v/>
          </cell>
        </row>
        <row r="126">
          <cell r="K126">
            <v>0</v>
          </cell>
        </row>
        <row r="127">
          <cell r="K127" t="str">
            <v>Display Monitor Performance</v>
          </cell>
        </row>
        <row r="128">
          <cell r="F128" t="str">
            <v>Resolution and Distortion</v>
          </cell>
        </row>
        <row r="132">
          <cell r="F132" t="str">
            <v>Spatial Resolution</v>
          </cell>
        </row>
        <row r="134">
          <cell r="B134" t="str">
            <v>Note:</v>
          </cell>
          <cell r="C134" t="str">
            <v>Use a line-pair pattern (SMPTE corners) with the frequency pitch of the display (alternating every pixel).</v>
          </cell>
        </row>
        <row r="136">
          <cell r="B136" t="str">
            <v>LP Pattern Area</v>
          </cell>
          <cell r="D136" t="str">
            <v>LP Pattern Size</v>
          </cell>
          <cell r="F136" t="str">
            <v>LP Frequency</v>
          </cell>
        </row>
        <row r="137">
          <cell r="C137" t="str">
            <v>cm hor.</v>
          </cell>
          <cell r="E137" t="str">
            <v>px hor.</v>
          </cell>
          <cell r="F137" t="str">
            <v/>
          </cell>
          <cell r="G137" t="str">
            <v>lp/mm hor.</v>
          </cell>
        </row>
        <row r="138">
          <cell r="C138" t="str">
            <v>cm ver.</v>
          </cell>
          <cell r="E138" t="str">
            <v>px ver.</v>
          </cell>
          <cell r="F138" t="str">
            <v/>
          </cell>
          <cell r="G138" t="str">
            <v>lp/mm ver.</v>
          </cell>
        </row>
        <row r="139">
          <cell r="B139" t="str">
            <v>Image Display Area</v>
          </cell>
          <cell r="D139" t="str">
            <v>Display Array Size</v>
          </cell>
        </row>
        <row r="140">
          <cell r="C140" t="str">
            <v>cm hor.</v>
          </cell>
          <cell r="D140" t="str">
            <v/>
          </cell>
          <cell r="E140" t="str">
            <v>px hor.</v>
          </cell>
        </row>
        <row r="141">
          <cell r="C141" t="str">
            <v>cm ver.</v>
          </cell>
          <cell r="D141" t="str">
            <v/>
          </cell>
          <cell r="E141" t="str">
            <v>px ver.</v>
          </cell>
        </row>
        <row r="143">
          <cell r="B143" t="str">
            <v>Modulation Evaluation (0 = degraded, 0.5 = equivocal, 1.0 = good)</v>
          </cell>
        </row>
        <row r="145">
          <cell r="D145" t="str">
            <v>Vertical Response/Hor lp</v>
          </cell>
          <cell r="I145" t="str">
            <v>Horizontal Response/Ver lp</v>
          </cell>
        </row>
        <row r="146">
          <cell r="C146" t="str">
            <v>Left</v>
          </cell>
          <cell r="D146" t="str">
            <v>Middle</v>
          </cell>
          <cell r="E146" t="str">
            <v>Right</v>
          </cell>
          <cell r="H146" t="str">
            <v>Left</v>
          </cell>
          <cell r="I146" t="str">
            <v>Middle</v>
          </cell>
          <cell r="J146" t="str">
            <v>Right</v>
          </cell>
        </row>
        <row r="147">
          <cell r="B147" t="str">
            <v>Top</v>
          </cell>
          <cell r="C147">
            <v>0.25</v>
          </cell>
          <cell r="D147">
            <v>0.25</v>
          </cell>
          <cell r="E147">
            <v>0.25</v>
          </cell>
          <cell r="G147" t="str">
            <v>Top</v>
          </cell>
          <cell r="H147">
            <v>0.25</v>
          </cell>
          <cell r="I147">
            <v>0.25</v>
          </cell>
          <cell r="J147">
            <v>0.25</v>
          </cell>
        </row>
        <row r="148">
          <cell r="B148" t="str">
            <v>Middle</v>
          </cell>
          <cell r="C148">
            <v>0.25</v>
          </cell>
          <cell r="D148">
            <v>0.25</v>
          </cell>
          <cell r="E148">
            <v>0.25</v>
          </cell>
          <cell r="G148" t="str">
            <v>Middle</v>
          </cell>
          <cell r="H148">
            <v>0.25</v>
          </cell>
          <cell r="I148">
            <v>0.25</v>
          </cell>
          <cell r="J148">
            <v>0.25</v>
          </cell>
        </row>
        <row r="149">
          <cell r="B149" t="str">
            <v>Bottom</v>
          </cell>
          <cell r="C149">
            <v>0.25</v>
          </cell>
          <cell r="D149">
            <v>0.25</v>
          </cell>
          <cell r="E149">
            <v>0.25</v>
          </cell>
          <cell r="G149" t="str">
            <v>Bottom</v>
          </cell>
          <cell r="H149">
            <v>0.25</v>
          </cell>
          <cell r="I149">
            <v>0.25</v>
          </cell>
          <cell r="J149">
            <v>0.25</v>
          </cell>
        </row>
        <row r="151">
          <cell r="B151" t="str">
            <v>Character Clarity</v>
          </cell>
          <cell r="D151" t="str">
            <v>Moderately clear</v>
          </cell>
        </row>
        <row r="153">
          <cell r="B153" t="str">
            <v>Criteria:</v>
          </cell>
          <cell r="C153" t="str">
            <v>All responses should be above 0.0 (idealy above 0.5).</v>
          </cell>
        </row>
        <row r="155">
          <cell r="H155" t="str">
            <v>Acceptable:</v>
          </cell>
          <cell r="J155" t="str">
            <v>Yes*</v>
          </cell>
        </row>
        <row r="156">
          <cell r="B156" t="str">
            <v>Comments:</v>
          </cell>
        </row>
        <row r="157">
          <cell r="B157" t="str">
            <v>*Since the SMPTE pattern was not available, a wire-mesh image was used for preliminary evaluation of</v>
          </cell>
        </row>
        <row r="158">
          <cell r="B158" t="str">
            <v>the system.  The system needs to be fully evaluated with a SMPTE test pattern.</v>
          </cell>
        </row>
        <row r="162">
          <cell r="F162" t="str">
            <v>Geometrical Distortions</v>
          </cell>
        </row>
        <row r="164">
          <cell r="B164" t="str">
            <v>Note:</v>
          </cell>
          <cell r="C164" t="str">
            <v>Measurement should be done using a square area.</v>
          </cell>
        </row>
        <row r="166">
          <cell r="C166" t="str">
            <v>Setting</v>
          </cell>
          <cell r="H166" t="str">
            <v>Visual Check</v>
          </cell>
        </row>
        <row r="167">
          <cell r="B167" t="str">
            <v>NA</v>
          </cell>
          <cell r="C167" t="str">
            <v>Display alignment disabled?</v>
          </cell>
          <cell r="G167" t="str">
            <v>Yes</v>
          </cell>
          <cell r="H167" t="str">
            <v>Frame/display alignment</v>
          </cell>
        </row>
        <row r="169">
          <cell r="B169" t="str">
            <v xml:space="preserve">                          </v>
          </cell>
          <cell r="D169" t="str">
            <v>Horizontal</v>
          </cell>
          <cell r="E169" t="str">
            <v>Horizontal</v>
          </cell>
          <cell r="F169" t="str">
            <v xml:space="preserve">Vertical </v>
          </cell>
          <cell r="G169" t="str">
            <v>Vertical</v>
          </cell>
          <cell r="H169" t="str">
            <v>Oblique</v>
          </cell>
          <cell r="I169" t="str">
            <v>Oblique</v>
          </cell>
        </row>
        <row r="170">
          <cell r="B170" t="str">
            <v xml:space="preserve">                            </v>
          </cell>
          <cell r="D170" t="str">
            <v>(top)</v>
          </cell>
          <cell r="E170" t="str">
            <v>(bottom)</v>
          </cell>
          <cell r="F170" t="str">
            <v>(left)</v>
          </cell>
          <cell r="G170" t="str">
            <v>(right)</v>
          </cell>
          <cell r="H170" t="str">
            <v>(\)</v>
          </cell>
          <cell r="I170" t="str">
            <v>(/)</v>
          </cell>
          <cell r="J170" t="str">
            <v>Mean</v>
          </cell>
        </row>
        <row r="171">
          <cell r="C171" t="str">
            <v>Measurement (cm)</v>
          </cell>
          <cell r="D171">
            <v>14.7</v>
          </cell>
          <cell r="E171">
            <v>14.6</v>
          </cell>
          <cell r="F171">
            <v>14.6</v>
          </cell>
          <cell r="G171">
            <v>14.65</v>
          </cell>
          <cell r="H171">
            <v>20.75</v>
          </cell>
          <cell r="I171">
            <v>20.9</v>
          </cell>
          <cell r="J171">
            <v>14.666832906069951</v>
          </cell>
        </row>
        <row r="172">
          <cell r="C172" t="str">
            <v>% Deviation wrt mean</v>
          </cell>
          <cell r="D172">
            <v>2.2613671364812484E-3</v>
          </cell>
          <cell r="E172">
            <v>4.5567374018621373E-3</v>
          </cell>
          <cell r="F172">
            <v>4.5567374018621373E-3</v>
          </cell>
          <cell r="G172">
            <v>1.1476851326903839E-3</v>
          </cell>
          <cell r="H172">
            <v>3.8405043454054101E-4</v>
          </cell>
          <cell r="I172">
            <v>7.6157423653925062E-3</v>
          </cell>
        </row>
        <row r="175">
          <cell r="B175" t="str">
            <v>Criteria:</v>
          </cell>
          <cell r="C175" t="str">
            <v>The distortions should be within 0.02 of the mean.  The display alignment</v>
          </cell>
        </row>
        <row r="176">
          <cell r="C176" t="str">
            <v>should be disabled and image farme should be aligned in the display area.</v>
          </cell>
        </row>
        <row r="178">
          <cell r="H178" t="str">
            <v>Acceptable:</v>
          </cell>
          <cell r="J178" t="str">
            <v>Yes</v>
          </cell>
        </row>
        <row r="179">
          <cell r="B179" t="str">
            <v>Comments:</v>
          </cell>
        </row>
        <row r="185">
          <cell r="B185" t="str">
            <v>Date:</v>
          </cell>
          <cell r="C185" t="str">
            <v/>
          </cell>
          <cell r="I185" t="str">
            <v>Location:</v>
          </cell>
          <cell r="J185" t="str">
            <v/>
          </cell>
        </row>
        <row r="186">
          <cell r="B186" t="str">
            <v>Medical Physicist:</v>
          </cell>
          <cell r="C186" t="str">
            <v/>
          </cell>
          <cell r="I186" t="str">
            <v>System Identification:</v>
          </cell>
          <cell r="J186" t="str">
            <v/>
          </cell>
        </row>
        <row r="187">
          <cell r="K187">
            <v>0</v>
          </cell>
        </row>
        <row r="188">
          <cell r="K188" t="str">
            <v>Display Monitor Performance</v>
          </cell>
        </row>
        <row r="189">
          <cell r="F189" t="str">
            <v>Artifacts, Glare, and Ambient Light</v>
          </cell>
        </row>
        <row r="192">
          <cell r="F192" t="str">
            <v>Display Artifacts</v>
          </cell>
        </row>
        <row r="194">
          <cell r="B194" t="str">
            <v>Note:</v>
          </cell>
          <cell r="C194" t="str">
            <v>Inspect edges of the dark-bright transitions.</v>
          </cell>
        </row>
        <row r="196">
          <cell r="D196" t="str">
            <v>Low-frequency Lag:</v>
          </cell>
          <cell r="E196" t="str">
            <v>Not observed.</v>
          </cell>
        </row>
        <row r="197">
          <cell r="D197" t="str">
            <v>High-frequency Overshoot:</v>
          </cell>
          <cell r="E197" t="str">
            <v>Minimal.</v>
          </cell>
        </row>
        <row r="198">
          <cell r="D198" t="str">
            <v>Ghosting:</v>
          </cell>
          <cell r="E198" t="str">
            <v>Not observed.</v>
          </cell>
        </row>
        <row r="200">
          <cell r="B200" t="str">
            <v>Criteria:</v>
          </cell>
          <cell r="C200" t="str">
            <v>The artifacts should be minimal.</v>
          </cell>
        </row>
        <row r="201">
          <cell r="H201" t="str">
            <v>Acceptable:</v>
          </cell>
          <cell r="J201" t="str">
            <v>Yes</v>
          </cell>
        </row>
        <row r="202">
          <cell r="B202" t="str">
            <v>Comments:</v>
          </cell>
        </row>
        <row r="206">
          <cell r="F206" t="str">
            <v>Glare</v>
          </cell>
        </row>
        <row r="208">
          <cell r="B208" t="str">
            <v>Note:</v>
          </cell>
          <cell r="C208" t="str">
            <v>Use a glare test image (dark circle on a bright bkgd, 43 mm in diameter) with a narrow window setting.</v>
          </cell>
        </row>
        <row r="209">
          <cell r="C209" t="str">
            <v>Vary the levels slightly to make the three measurements.</v>
          </cell>
        </row>
        <row r="211">
          <cell r="D211" t="str">
            <v>Diameter of the probe (mm):</v>
          </cell>
          <cell r="E211">
            <v>43</v>
          </cell>
        </row>
        <row r="213">
          <cell r="F213" t="str">
            <v>Center of the circle (circle present)</v>
          </cell>
          <cell r="G213">
            <v>3</v>
          </cell>
          <cell r="H213" t="str">
            <v>cd/m2</v>
          </cell>
        </row>
        <row r="214">
          <cell r="F214" t="str">
            <v>Center of the circle (all the image bright))</v>
          </cell>
          <cell r="G214">
            <v>170</v>
          </cell>
          <cell r="H214" t="str">
            <v>cd/m2</v>
          </cell>
        </row>
        <row r="215">
          <cell r="F215" t="str">
            <v>Center of the circle (all the image dark)</v>
          </cell>
          <cell r="G215">
            <v>2</v>
          </cell>
          <cell r="H215" t="str">
            <v>cd/m2</v>
          </cell>
        </row>
        <row r="217">
          <cell r="C217" t="str">
            <v>Glare Ratio</v>
          </cell>
          <cell r="E217">
            <v>170</v>
          </cell>
        </row>
        <row r="219">
          <cell r="B219" t="str">
            <v>Criteria:</v>
          </cell>
          <cell r="C219" t="str">
            <v>Glare ratio should be higher than 150 for a atisfactory clinical performance.</v>
          </cell>
        </row>
        <row r="221">
          <cell r="H221" t="str">
            <v>Acceptable:</v>
          </cell>
          <cell r="J221" t="str">
            <v>Yes</v>
          </cell>
        </row>
        <row r="222">
          <cell r="B222" t="str">
            <v>Comments:</v>
          </cell>
        </row>
        <row r="223">
          <cell r="B223" t="str">
            <v xml:space="preserve">179% mag gave the desired size of the "quarter". Measurement was not precise due to the luminance meter.  </v>
          </cell>
        </row>
        <row r="224">
          <cell r="B224" t="str">
            <v>Glare test may be repeated with a more accurate luminance meter.</v>
          </cell>
        </row>
        <row r="227">
          <cell r="F227" t="str">
            <v>Ambient Light Reflection</v>
          </cell>
        </row>
        <row r="229">
          <cell r="B229" t="str">
            <v>Note:</v>
          </cell>
          <cell r="C229" t="str">
            <v>Test should be done in dark with the monitor turned off.</v>
          </cell>
        </row>
        <row r="231">
          <cell r="F231" t="str">
            <v>Source luminance at 1 m</v>
          </cell>
          <cell r="H231" t="str">
            <v>cd/m2</v>
          </cell>
        </row>
        <row r="232">
          <cell r="F232" t="str">
            <v>Source luminance 30 degree reflection from the face-plate*</v>
          </cell>
          <cell r="H232" t="str">
            <v>cd/m2</v>
          </cell>
        </row>
        <row r="233">
          <cell r="F233" t="str">
            <v>Diffuse component luminance normal to the face-plate*</v>
          </cell>
          <cell r="H233" t="str">
            <v>cd/m2</v>
          </cell>
        </row>
        <row r="234">
          <cell r="C234" t="str">
            <v>* Meter and the source are located 0.5 m away from the face-plate.</v>
          </cell>
        </row>
        <row r="236">
          <cell r="C236" t="str">
            <v>Reflection Ratio</v>
          </cell>
          <cell r="E236" t="str">
            <v/>
          </cell>
        </row>
        <row r="237">
          <cell r="C237" t="str">
            <v>Diffusion Ratio</v>
          </cell>
          <cell r="E237" t="str">
            <v/>
          </cell>
        </row>
        <row r="239">
          <cell r="H239" t="str">
            <v>Acceptable:</v>
          </cell>
          <cell r="J239" t="str">
            <v>NA</v>
          </cell>
        </row>
        <row r="240">
          <cell r="B240" t="str">
            <v>Comments:</v>
          </cell>
        </row>
        <row r="246">
          <cell r="B246" t="str">
            <v>Date:</v>
          </cell>
          <cell r="C246" t="str">
            <v/>
          </cell>
          <cell r="I246" t="str">
            <v>Location:</v>
          </cell>
          <cell r="J246" t="str">
            <v/>
          </cell>
        </row>
        <row r="247">
          <cell r="B247" t="str">
            <v>Medical Physicist:</v>
          </cell>
          <cell r="C247" t="str">
            <v/>
          </cell>
          <cell r="I247" t="str">
            <v>System Identification:</v>
          </cell>
          <cell r="J247" t="str">
            <v/>
          </cell>
        </row>
      </sheetData>
      <sheetData sheetId="2">
        <row r="1">
          <cell r="K1">
            <v>0</v>
          </cell>
        </row>
        <row r="2">
          <cell r="K2" t="str">
            <v>Printer Performance</v>
          </cell>
        </row>
        <row r="3">
          <cell r="F3" t="str">
            <v>Inspection Results Summary</v>
          </cell>
        </row>
        <row r="6">
          <cell r="I6" t="str">
            <v>Acceptable</v>
          </cell>
        </row>
        <row r="7">
          <cell r="A7" t="str">
            <v>1.</v>
          </cell>
          <cell r="B7" t="str">
            <v>Density Response - Calibration</v>
          </cell>
          <cell r="I7" t="str">
            <v>Yes</v>
          </cell>
        </row>
        <row r="8">
          <cell r="A8" t="str">
            <v>2.</v>
          </cell>
          <cell r="B8" t="str">
            <v>Resolution Response and Geometrical Distortion</v>
          </cell>
          <cell r="I8" t="str">
            <v>Yes</v>
          </cell>
        </row>
        <row r="9">
          <cell r="A9" t="str">
            <v>3.</v>
          </cell>
          <cell r="B9" t="str">
            <v>Uniformity and Artifacts</v>
          </cell>
          <cell r="I9" t="str">
            <v>Yes</v>
          </cell>
        </row>
        <row r="10">
          <cell r="A10" t="str">
            <v>4.</v>
          </cell>
          <cell r="B10" t="str">
            <v>Glare</v>
          </cell>
          <cell r="I10" t="str">
            <v>TBD*</v>
          </cell>
        </row>
        <row r="11">
          <cell r="A11" t="str">
            <v>5.</v>
          </cell>
          <cell r="B11" t="str">
            <v>Throughput</v>
          </cell>
          <cell r="I11" t="str">
            <v>Yes</v>
          </cell>
        </row>
        <row r="20">
          <cell r="B20" t="str">
            <v>Comments:</v>
          </cell>
        </row>
        <row r="21">
          <cell r="A21" t="str">
            <v>1.</v>
          </cell>
          <cell r="B21" t="str">
            <v/>
          </cell>
        </row>
        <row r="22">
          <cell r="B22" t="str">
            <v/>
          </cell>
        </row>
        <row r="24">
          <cell r="A24" t="str">
            <v>2.</v>
          </cell>
          <cell r="B24" t="str">
            <v/>
          </cell>
        </row>
        <row r="25">
          <cell r="B25" t="str">
            <v/>
          </cell>
        </row>
        <row r="27">
          <cell r="A27" t="str">
            <v>3.</v>
          </cell>
          <cell r="B27" t="str">
            <v/>
          </cell>
        </row>
        <row r="28">
          <cell r="B28" t="str">
            <v/>
          </cell>
        </row>
        <row r="30">
          <cell r="A30" t="str">
            <v>4.</v>
          </cell>
          <cell r="B30" t="str">
            <v/>
          </cell>
        </row>
        <row r="31">
          <cell r="B31" t="str">
            <v/>
          </cell>
        </row>
        <row r="33">
          <cell r="A33" t="str">
            <v>5.</v>
          </cell>
          <cell r="B33" t="str">
            <v>Unexposed 10x12 were use for this measurement.</v>
          </cell>
        </row>
        <row r="34">
          <cell r="B34" t="str">
            <v/>
          </cell>
        </row>
        <row r="36">
          <cell r="A36" t="str">
            <v>Other:</v>
          </cell>
          <cell r="B36" t="str">
            <v/>
          </cell>
        </row>
        <row r="37">
          <cell r="B37" t="str">
            <v/>
          </cell>
        </row>
        <row r="62">
          <cell r="B62" t="str">
            <v>Date:</v>
          </cell>
          <cell r="C62" t="str">
            <v/>
          </cell>
          <cell r="I62" t="str">
            <v>Location:</v>
          </cell>
          <cell r="J62" t="str">
            <v/>
          </cell>
        </row>
        <row r="63">
          <cell r="B63" t="str">
            <v>Medical Physicist:</v>
          </cell>
          <cell r="C63" t="str">
            <v/>
          </cell>
          <cell r="I63" t="str">
            <v>System Identification:</v>
          </cell>
          <cell r="J63" t="str">
            <v/>
          </cell>
        </row>
        <row r="64">
          <cell r="K64">
            <v>0</v>
          </cell>
        </row>
        <row r="65">
          <cell r="K65" t="str">
            <v>Printer Performance</v>
          </cell>
        </row>
        <row r="66">
          <cell r="F66" t="str">
            <v>Density Response - Calibration</v>
          </cell>
        </row>
        <row r="70">
          <cell r="B70" t="str">
            <v>Test Patterns:</v>
          </cell>
          <cell r="C70" t="str">
            <v>1) Al step wedge image acquired with 70 kVp, 1 mm Cu filter, 100 mAs.</v>
          </cell>
        </row>
        <row r="71">
          <cell r="C71" t="str">
            <v>2) Printer generated SMPTE pattern.</v>
          </cell>
        </row>
        <row r="73">
          <cell r="G73" t="str">
            <v>Max Pixel Value</v>
          </cell>
          <cell r="I73">
            <v>1024</v>
          </cell>
        </row>
        <row r="74">
          <cell r="B74" t="str">
            <v>Step</v>
          </cell>
          <cell r="C74" t="str">
            <v>Printer Setting</v>
          </cell>
          <cell r="G74" t="str">
            <v>% PV</v>
          </cell>
          <cell r="H74" t="str">
            <v>PV</v>
          </cell>
          <cell r="I74" t="str">
            <v>OD</v>
          </cell>
        </row>
        <row r="75">
          <cell r="B75" t="str">
            <v>Al (step)</v>
          </cell>
          <cell r="C75" t="str">
            <v>C=11, Dmax = 2.7</v>
          </cell>
          <cell r="G75">
            <v>100</v>
          </cell>
          <cell r="H75">
            <v>1024</v>
          </cell>
          <cell r="I75">
            <v>0.24</v>
          </cell>
        </row>
        <row r="76">
          <cell r="B76">
            <v>11</v>
          </cell>
          <cell r="C76">
            <v>0.23</v>
          </cell>
          <cell r="G76">
            <v>95</v>
          </cell>
          <cell r="H76">
            <v>972.8</v>
          </cell>
          <cell r="I76">
            <v>0.26</v>
          </cell>
        </row>
        <row r="77">
          <cell r="B77">
            <v>10</v>
          </cell>
          <cell r="C77">
            <v>0.24</v>
          </cell>
          <cell r="G77">
            <v>90</v>
          </cell>
          <cell r="H77">
            <v>921.6</v>
          </cell>
          <cell r="I77">
            <v>0.27</v>
          </cell>
        </row>
        <row r="78">
          <cell r="B78">
            <v>9</v>
          </cell>
          <cell r="C78">
            <v>0.27</v>
          </cell>
          <cell r="G78">
            <v>80</v>
          </cell>
          <cell r="H78">
            <v>819.2</v>
          </cell>
          <cell r="I78">
            <v>0.41</v>
          </cell>
        </row>
        <row r="79">
          <cell r="B79">
            <v>8</v>
          </cell>
          <cell r="C79">
            <v>0.42</v>
          </cell>
          <cell r="G79">
            <v>70</v>
          </cell>
          <cell r="H79">
            <v>716.8</v>
          </cell>
          <cell r="I79">
            <v>0.75</v>
          </cell>
        </row>
        <row r="80">
          <cell r="B80">
            <v>7</v>
          </cell>
          <cell r="C80">
            <v>0.8</v>
          </cell>
          <cell r="G80">
            <v>60</v>
          </cell>
          <cell r="H80">
            <v>614.4</v>
          </cell>
          <cell r="I80">
            <v>1.1100000000000001</v>
          </cell>
        </row>
        <row r="81">
          <cell r="B81">
            <v>6</v>
          </cell>
          <cell r="C81">
            <v>1.26</v>
          </cell>
          <cell r="G81">
            <v>50</v>
          </cell>
          <cell r="H81">
            <v>512</v>
          </cell>
          <cell r="I81">
            <v>1.42</v>
          </cell>
        </row>
        <row r="82">
          <cell r="B82">
            <v>5</v>
          </cell>
          <cell r="C82">
            <v>1.61</v>
          </cell>
          <cell r="G82">
            <v>40</v>
          </cell>
          <cell r="H82">
            <v>409.6</v>
          </cell>
          <cell r="I82">
            <v>1.72</v>
          </cell>
        </row>
        <row r="83">
          <cell r="B83">
            <v>4</v>
          </cell>
          <cell r="C83">
            <v>1.99</v>
          </cell>
          <cell r="G83">
            <v>30</v>
          </cell>
          <cell r="H83">
            <v>307.2</v>
          </cell>
          <cell r="I83">
            <v>2.02</v>
          </cell>
        </row>
        <row r="84">
          <cell r="B84">
            <v>3</v>
          </cell>
          <cell r="C84">
            <v>2.37</v>
          </cell>
          <cell r="G84">
            <v>20</v>
          </cell>
          <cell r="H84">
            <v>204.8</v>
          </cell>
          <cell r="I84">
            <v>2.27</v>
          </cell>
        </row>
        <row r="85">
          <cell r="B85">
            <v>2</v>
          </cell>
          <cell r="C85">
            <v>2.73</v>
          </cell>
          <cell r="G85">
            <v>10</v>
          </cell>
          <cell r="H85">
            <v>102.4</v>
          </cell>
          <cell r="I85">
            <v>2.5299999999999998</v>
          </cell>
        </row>
        <row r="86">
          <cell r="B86">
            <v>1</v>
          </cell>
          <cell r="C86">
            <v>2.89</v>
          </cell>
          <cell r="G86">
            <v>5</v>
          </cell>
          <cell r="H86">
            <v>51.2</v>
          </cell>
          <cell r="I86">
            <v>2.7</v>
          </cell>
        </row>
        <row r="87">
          <cell r="B87">
            <v>0</v>
          </cell>
          <cell r="C87">
            <v>2.88</v>
          </cell>
          <cell r="G87">
            <v>0</v>
          </cell>
          <cell r="H87">
            <v>0</v>
          </cell>
          <cell r="I87">
            <v>2.79</v>
          </cell>
        </row>
        <row r="107">
          <cell r="C107" t="str">
            <v>Average Gamma Calculations</v>
          </cell>
        </row>
        <row r="108">
          <cell r="C108" t="str">
            <v>Lower limit step</v>
          </cell>
          <cell r="E108">
            <v>7</v>
          </cell>
          <cell r="F108" t="str">
            <v>Upper limit step</v>
          </cell>
          <cell r="H108">
            <v>3</v>
          </cell>
        </row>
        <row r="109">
          <cell r="C109" t="str">
            <v>OD lower limit</v>
          </cell>
          <cell r="E109">
            <v>0.8</v>
          </cell>
          <cell r="F109" t="str">
            <v>OD upper limit</v>
          </cell>
          <cell r="H109">
            <v>2.37</v>
          </cell>
        </row>
        <row r="110">
          <cell r="C110" t="str">
            <v>Lat lower limit step</v>
          </cell>
          <cell r="E110">
            <v>10</v>
          </cell>
          <cell r="F110" t="str">
            <v>Step latitude</v>
          </cell>
          <cell r="H110">
            <v>9</v>
          </cell>
        </row>
        <row r="111">
          <cell r="C111" t="str">
            <v>Lat upper limit step</v>
          </cell>
          <cell r="E111">
            <v>1</v>
          </cell>
          <cell r="F111" t="str">
            <v>Step window</v>
          </cell>
          <cell r="H111">
            <v>4</v>
          </cell>
        </row>
        <row r="113">
          <cell r="C113" t="str">
            <v>Base+fog</v>
          </cell>
          <cell r="D113">
            <v>0.23</v>
          </cell>
          <cell r="F113" t="str">
            <v>Average Gamma</v>
          </cell>
          <cell r="H113">
            <v>3.4497070312500002E-3</v>
          </cell>
        </row>
        <row r="117">
          <cell r="H117" t="str">
            <v>Acceptable:</v>
          </cell>
          <cell r="J117" t="str">
            <v>Yes</v>
          </cell>
        </row>
        <row r="119">
          <cell r="B119" t="str">
            <v>Comments:</v>
          </cell>
        </row>
        <row r="125">
          <cell r="B125" t="str">
            <v>Date:</v>
          </cell>
          <cell r="C125" t="str">
            <v/>
          </cell>
          <cell r="I125" t="str">
            <v>Location:</v>
          </cell>
          <cell r="J125" t="str">
            <v/>
          </cell>
        </row>
        <row r="126">
          <cell r="B126" t="str">
            <v>Medical Physicist:</v>
          </cell>
          <cell r="C126" t="str">
            <v/>
          </cell>
          <cell r="I126" t="str">
            <v>System Identification:</v>
          </cell>
          <cell r="J126" t="str">
            <v/>
          </cell>
        </row>
        <row r="127">
          <cell r="K127">
            <v>0</v>
          </cell>
        </row>
        <row r="128">
          <cell r="K128" t="str">
            <v>Printer Performance</v>
          </cell>
        </row>
        <row r="129">
          <cell r="F129" t="str">
            <v>Resolution, Uniformity, and Glare</v>
          </cell>
        </row>
        <row r="133">
          <cell r="F133" t="str">
            <v>Resolution Response and Geometrical Distortion</v>
          </cell>
        </row>
        <row r="135">
          <cell r="B135" t="str">
            <v>Test Patterns:</v>
          </cell>
          <cell r="C135" t="str">
            <v>1) Screen-film contact wire-mesh image acquired with 80 kVp, 1 mR, and SPMTE pattern.</v>
          </cell>
        </row>
        <row r="136">
          <cell r="C136" t="str">
            <v>2) Printer generated SMPTE pattern.</v>
          </cell>
        </row>
        <row r="138">
          <cell r="B138" t="str">
            <v>Resolution:</v>
          </cell>
          <cell r="C138" t="str">
            <v>Resoluton response was uniform and acceptable in the printed patterns.</v>
          </cell>
        </row>
        <row r="139">
          <cell r="B139" t="str">
            <v>Distortion:</v>
          </cell>
          <cell r="C139" t="str">
            <v>No geometrical distortion was observed.</v>
          </cell>
        </row>
        <row r="141">
          <cell r="B141" t="str">
            <v>Criteria:</v>
          </cell>
          <cell r="C141" t="str">
            <v>No distortion should be observed.</v>
          </cell>
        </row>
        <row r="143">
          <cell r="H143" t="str">
            <v>Acceptable:</v>
          </cell>
          <cell r="J143" t="str">
            <v>Yes</v>
          </cell>
        </row>
        <row r="144">
          <cell r="B144" t="str">
            <v>Comments:</v>
          </cell>
        </row>
        <row r="150">
          <cell r="F150" t="str">
            <v>Uniformity and Artifacts</v>
          </cell>
        </row>
        <row r="152">
          <cell r="B152" t="str">
            <v>Note:</v>
          </cell>
          <cell r="C152" t="str">
            <v>Use a uniform image with an average gray value (OD ~ 1.2).</v>
          </cell>
        </row>
        <row r="154">
          <cell r="B154" t="str">
            <v>Artifacts:</v>
          </cell>
          <cell r="C154" t="str">
            <v>No non-uniformity or artifacts were observed.</v>
          </cell>
        </row>
        <row r="156">
          <cell r="B156" t="str">
            <v>Criteria:</v>
          </cell>
          <cell r="C156" t="str">
            <v>The image should be free of non-uniformities and artifacts.</v>
          </cell>
        </row>
        <row r="159">
          <cell r="H159" t="str">
            <v>Acceptable:</v>
          </cell>
          <cell r="J159" t="str">
            <v>Yes</v>
          </cell>
        </row>
        <row r="160">
          <cell r="B160" t="str">
            <v>Comments:</v>
          </cell>
        </row>
        <row r="169">
          <cell r="F169" t="str">
            <v>Glare</v>
          </cell>
        </row>
        <row r="171">
          <cell r="B171" t="str">
            <v>Test Pattern:</v>
          </cell>
          <cell r="C171" t="str">
            <v xml:space="preserve">Image of a "dime" acquired with 50 kVp, 3 mAs beam, processed under Sensitivity, Semi, </v>
          </cell>
        </row>
        <row r="172">
          <cell r="C172" t="str">
            <v>CS=2.0, SS=2.0.  The image is narrowly windowed with a linear curve (GT=A).</v>
          </cell>
        </row>
        <row r="174">
          <cell r="E174" t="str">
            <v>Optical density at the center of the circle</v>
          </cell>
        </row>
        <row r="175">
          <cell r="E175" t="str">
            <v>Average optical density of the surround</v>
          </cell>
        </row>
        <row r="176">
          <cell r="E176" t="str">
            <v>Base-fog density</v>
          </cell>
        </row>
        <row r="178">
          <cell r="B178" t="str">
            <v>Criteria:</v>
          </cell>
          <cell r="C178" t="str">
            <v>Central optical density - base+fog density &lt; 0.03.</v>
          </cell>
        </row>
        <row r="180">
          <cell r="H180" t="str">
            <v>Acceptable:</v>
          </cell>
          <cell r="J180" t="str">
            <v>TBD*</v>
          </cell>
        </row>
        <row r="181">
          <cell r="B181" t="str">
            <v>Comments:</v>
          </cell>
        </row>
        <row r="186">
          <cell r="B186" t="str">
            <v>Date:</v>
          </cell>
          <cell r="C186" t="str">
            <v/>
          </cell>
          <cell r="I186" t="str">
            <v>Location:</v>
          </cell>
          <cell r="J186" t="str">
            <v/>
          </cell>
        </row>
        <row r="187">
          <cell r="B187" t="str">
            <v>Medical Physicist:</v>
          </cell>
          <cell r="C187" t="str">
            <v/>
          </cell>
          <cell r="I187" t="str">
            <v>System Identification:</v>
          </cell>
          <cell r="J187" t="str">
            <v/>
          </cell>
        </row>
        <row r="188">
          <cell r="K188">
            <v>0</v>
          </cell>
        </row>
        <row r="189">
          <cell r="K189" t="str">
            <v>Printer Performance</v>
          </cell>
        </row>
        <row r="190">
          <cell r="F190" t="str">
            <v>Throughput</v>
          </cell>
        </row>
        <row r="194">
          <cell r="B194" t="str">
            <v>Note:</v>
          </cell>
          <cell r="C194" t="str">
            <v>Read 4 CR plates with minimum time delay in between.</v>
          </cell>
        </row>
        <row r="196">
          <cell r="D196" t="str">
            <v>min       &amp;       sec</v>
          </cell>
          <cell r="I196" t="str">
            <v>min       &amp;       sec</v>
          </cell>
        </row>
        <row r="197">
          <cell r="B197" t="str">
            <v>last data input</v>
          </cell>
          <cell r="D197">
            <v>0</v>
          </cell>
          <cell r="E197">
            <v>18</v>
          </cell>
          <cell r="G197" t="str">
            <v>1st print out</v>
          </cell>
          <cell r="I197">
            <v>2</v>
          </cell>
          <cell r="J197">
            <v>40</v>
          </cell>
        </row>
        <row r="198">
          <cell r="B198" t="str">
            <v>1st IP read</v>
          </cell>
          <cell r="D198">
            <v>0</v>
          </cell>
          <cell r="E198">
            <v>32</v>
          </cell>
          <cell r="G198" t="str">
            <v>2nd print out</v>
          </cell>
          <cell r="I198">
            <v>3</v>
          </cell>
          <cell r="J198">
            <v>20</v>
          </cell>
        </row>
        <row r="199">
          <cell r="B199" t="str">
            <v>1st IP released</v>
          </cell>
          <cell r="D199">
            <v>0</v>
          </cell>
          <cell r="E199">
            <v>42</v>
          </cell>
          <cell r="G199" t="str">
            <v>3rd print out</v>
          </cell>
          <cell r="I199">
            <v>4</v>
          </cell>
          <cell r="J199">
            <v>0</v>
          </cell>
        </row>
        <row r="200">
          <cell r="B200" t="str">
            <v>4th IP released</v>
          </cell>
          <cell r="D200">
            <v>2</v>
          </cell>
          <cell r="E200">
            <v>45</v>
          </cell>
          <cell r="G200" t="str">
            <v>4th print out</v>
          </cell>
          <cell r="I200">
            <v>4</v>
          </cell>
          <cell r="J200">
            <v>40</v>
          </cell>
        </row>
        <row r="202">
          <cell r="B202" t="str">
            <v>Throughput</v>
          </cell>
          <cell r="D202">
            <v>51.428571428571423</v>
          </cell>
          <cell r="E202" t="str">
            <v>plates/hr</v>
          </cell>
        </row>
        <row r="204">
          <cell r="H204" t="str">
            <v>Acceptable:</v>
          </cell>
          <cell r="J204" t="str">
            <v>Yes</v>
          </cell>
        </row>
        <row r="205">
          <cell r="B205" t="str">
            <v>Comments:</v>
          </cell>
        </row>
        <row r="206">
          <cell r="B206" t="str">
            <v>Unexposed 10x12 were use for this measurement.</v>
          </cell>
        </row>
        <row r="248">
          <cell r="B248" t="str">
            <v>Date:</v>
          </cell>
          <cell r="C248" t="str">
            <v/>
          </cell>
          <cell r="I248" t="str">
            <v>Location:</v>
          </cell>
          <cell r="J248" t="str">
            <v/>
          </cell>
        </row>
        <row r="249">
          <cell r="B249" t="str">
            <v>Medical Physicist:</v>
          </cell>
          <cell r="C249" t="str">
            <v/>
          </cell>
          <cell r="I249" t="str">
            <v>System Identification:</v>
          </cell>
          <cell r="J249" t="str">
            <v/>
          </cell>
        </row>
      </sheetData>
      <sheetData sheetId="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ons"/>
      <sheetName val="QAreport"/>
      <sheetName val="Generator"/>
      <sheetName val="fs, align, leak"/>
      <sheetName val="DAP"/>
      <sheetName val="AEC"/>
      <sheetName val="Table Detector"/>
      <sheetName val="Wall Detector"/>
      <sheetName val="contrast curves"/>
      <sheetName val="Tables"/>
      <sheetName val="HVL"/>
      <sheetName val="Unfors Data"/>
    </sheetNames>
    <sheetDataSet>
      <sheetData sheetId="0"/>
      <sheetData sheetId="1">
        <row r="8">
          <cell r="I8" t="str">
            <v>OC, OPTI 150/30/50HC</v>
          </cell>
        </row>
        <row r="11">
          <cell r="D11">
            <v>39408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94"/>
  <sheetViews>
    <sheetView tabSelected="1" zoomScale="90" zoomScaleNormal="90" workbookViewId="0">
      <selection activeCell="H14" sqref="H14"/>
    </sheetView>
  </sheetViews>
  <sheetFormatPr defaultColWidth="9.109375" defaultRowHeight="13.2"/>
  <cols>
    <col min="1" max="1" width="2.44140625" style="80" customWidth="1"/>
    <col min="2" max="2" width="4.88671875" style="80" customWidth="1"/>
    <col min="3" max="3" width="11.5546875" style="80" customWidth="1"/>
    <col min="4" max="5" width="9.109375" style="80"/>
    <col min="6" max="6" width="10.6640625" style="80" customWidth="1"/>
    <col min="7" max="7" width="11" style="80" customWidth="1"/>
    <col min="8" max="8" width="15.109375" style="80" customWidth="1"/>
    <col min="9" max="9" width="9.5546875" style="80" customWidth="1"/>
    <col min="10" max="10" width="6.88671875" style="80" customWidth="1"/>
    <col min="11" max="11" width="9.5546875" style="80" customWidth="1"/>
    <col min="12" max="15" width="9.109375" style="80"/>
    <col min="16" max="16" width="9.88671875" style="80" customWidth="1"/>
    <col min="17" max="17" width="22.6640625" style="80" customWidth="1"/>
    <col min="18" max="18" width="16.33203125" style="80" customWidth="1"/>
    <col min="19" max="19" width="17.109375" style="80" customWidth="1"/>
    <col min="20" max="16384" width="9.109375" style="80"/>
  </cols>
  <sheetData>
    <row r="1" spans="1:54" ht="24" customHeight="1">
      <c r="A1" s="155"/>
      <c r="D1" s="81"/>
      <c r="E1" s="81"/>
      <c r="F1" s="82"/>
      <c r="G1" s="82"/>
      <c r="H1" s="82"/>
      <c r="I1" s="82"/>
      <c r="J1" s="82"/>
      <c r="K1" s="156"/>
      <c r="L1" s="157"/>
      <c r="M1" s="82"/>
      <c r="N1" s="82"/>
      <c r="O1" s="82"/>
      <c r="P1" s="82"/>
      <c r="Q1" s="82"/>
      <c r="R1" s="82"/>
      <c r="S1" s="82"/>
      <c r="T1" s="82"/>
      <c r="U1" s="82"/>
      <c r="V1" s="82"/>
      <c r="W1" s="82"/>
      <c r="X1" s="82"/>
      <c r="Y1" s="82"/>
      <c r="Z1" s="82"/>
      <c r="AA1" s="82"/>
      <c r="AB1" s="82"/>
      <c r="AC1" s="82"/>
      <c r="AD1" s="82"/>
      <c r="AE1" s="82"/>
      <c r="AF1" s="82"/>
      <c r="AG1" s="82"/>
      <c r="AH1" s="82"/>
      <c r="AI1" s="82"/>
      <c r="AJ1" s="82"/>
      <c r="AK1" s="82"/>
      <c r="AL1" s="82"/>
      <c r="AM1" s="82"/>
      <c r="AN1" s="82"/>
      <c r="AO1" s="82"/>
      <c r="AP1" s="82"/>
      <c r="AQ1" s="82"/>
      <c r="AR1" s="82"/>
      <c r="AS1" s="82"/>
      <c r="AT1" s="82"/>
      <c r="AU1" s="82"/>
      <c r="AV1" s="82"/>
      <c r="AW1" s="82"/>
      <c r="AX1" s="82"/>
      <c r="AY1" s="82"/>
      <c r="AZ1" s="82"/>
      <c r="BA1" s="82"/>
      <c r="BB1" s="82"/>
    </row>
    <row r="2" spans="1:54" ht="12.75" customHeight="1">
      <c r="C2" s="83"/>
      <c r="D2" s="83"/>
      <c r="E2" s="84"/>
    </row>
    <row r="3" spans="1:54" ht="12.75" customHeight="1">
      <c r="C3" s="83"/>
      <c r="D3" s="83"/>
      <c r="E3" s="85"/>
    </row>
    <row r="4" spans="1:54" ht="13.8">
      <c r="J4" s="83"/>
      <c r="K4" s="231"/>
      <c r="M4" s="229"/>
      <c r="N4" s="230"/>
    </row>
    <row r="5" spans="1:54" ht="12.75" customHeight="1"/>
    <row r="6" spans="1:54" ht="12.75" customHeight="1"/>
    <row r="7" spans="1:54" s="86" customFormat="1" ht="12" customHeight="1" thickBot="1">
      <c r="H7" s="87"/>
      <c r="I7" s="87"/>
      <c r="J7" s="87"/>
    </row>
    <row r="8" spans="1:54" s="86" customFormat="1" ht="12" customHeight="1">
      <c r="B8" s="88" t="s">
        <v>29</v>
      </c>
      <c r="C8" s="89"/>
      <c r="D8" s="90"/>
      <c r="E8" s="90"/>
      <c r="F8" s="90"/>
      <c r="G8" s="91" t="s">
        <v>30</v>
      </c>
      <c r="H8" s="92"/>
      <c r="I8" s="90" t="s">
        <v>127</v>
      </c>
      <c r="K8" s="93"/>
    </row>
    <row r="9" spans="1:54" s="86" customFormat="1" ht="12" customHeight="1">
      <c r="B9" s="94" t="s">
        <v>31</v>
      </c>
      <c r="C9" s="95"/>
      <c r="D9" s="226" t="s">
        <v>124</v>
      </c>
      <c r="E9" s="96"/>
      <c r="F9" s="96"/>
      <c r="G9" s="97" t="s">
        <v>32</v>
      </c>
      <c r="H9" s="92"/>
      <c r="K9" s="98"/>
    </row>
    <row r="10" spans="1:54" s="86" customFormat="1" ht="12" customHeight="1">
      <c r="B10" s="99" t="s">
        <v>33</v>
      </c>
      <c r="C10" s="95"/>
      <c r="D10" s="228">
        <v>45658</v>
      </c>
      <c r="E10" s="96"/>
      <c r="F10" s="96"/>
      <c r="G10" s="97" t="s">
        <v>34</v>
      </c>
      <c r="H10" s="92"/>
      <c r="I10" s="226" t="s">
        <v>125</v>
      </c>
      <c r="K10" s="98"/>
    </row>
    <row r="11" spans="1:54" s="86" customFormat="1" ht="12" customHeight="1">
      <c r="B11" s="94" t="s">
        <v>35</v>
      </c>
      <c r="C11" s="95"/>
      <c r="D11" s="228">
        <v>45658</v>
      </c>
      <c r="E11" s="96"/>
      <c r="F11" s="96"/>
      <c r="G11" s="97" t="s">
        <v>36</v>
      </c>
      <c r="H11" s="92"/>
      <c r="I11" s="226" t="s">
        <v>126</v>
      </c>
      <c r="K11" s="98"/>
    </row>
    <row r="12" spans="1:54" s="86" customFormat="1" ht="12" customHeight="1" thickBot="1">
      <c r="B12" s="100" t="s">
        <v>37</v>
      </c>
      <c r="C12" s="101"/>
      <c r="D12" s="184">
        <v>45658</v>
      </c>
      <c r="E12" s="102"/>
      <c r="F12" s="102"/>
      <c r="G12" s="103" t="s">
        <v>38</v>
      </c>
      <c r="H12" s="104"/>
      <c r="I12" s="227"/>
      <c r="J12" s="87"/>
      <c r="K12" s="105"/>
    </row>
    <row r="13" spans="1:54" s="86" customFormat="1" ht="12" customHeight="1">
      <c r="P13" s="80"/>
    </row>
    <row r="14" spans="1:54" s="86" customFormat="1" ht="13.8">
      <c r="F14" s="106" t="s">
        <v>39</v>
      </c>
      <c r="G14" s="186"/>
      <c r="H14" s="186"/>
      <c r="P14" s="226"/>
    </row>
    <row r="15" spans="1:54" s="86" customFormat="1" ht="12" customHeight="1">
      <c r="V15" s="6"/>
    </row>
    <row r="16" spans="1:54" s="86" customFormat="1" ht="13.8">
      <c r="B16" s="232" t="s">
        <v>76</v>
      </c>
      <c r="C16" s="232"/>
      <c r="D16" s="232"/>
      <c r="E16" s="232"/>
      <c r="F16" s="232"/>
      <c r="G16" s="232"/>
      <c r="H16" s="232"/>
      <c r="I16" s="232"/>
      <c r="J16" s="232"/>
      <c r="K16" s="232"/>
      <c r="L16" s="108"/>
      <c r="M16" s="109"/>
      <c r="N16" s="109"/>
      <c r="O16" s="96"/>
      <c r="P16" s="96"/>
      <c r="Q16" s="110"/>
      <c r="R16" s="109"/>
      <c r="S16" s="111"/>
      <c r="T16" s="108"/>
      <c r="U16" s="112"/>
      <c r="V16" s="113"/>
      <c r="W16" s="108"/>
    </row>
    <row r="17" spans="2:23" s="86" customFormat="1" ht="6" customHeight="1">
      <c r="B17" s="107"/>
      <c r="C17" s="107"/>
      <c r="D17" s="107"/>
      <c r="E17" s="107"/>
      <c r="F17" s="107"/>
      <c r="G17" s="107"/>
      <c r="H17" s="107"/>
      <c r="I17" s="107"/>
      <c r="J17" s="107"/>
      <c r="K17" s="107"/>
      <c r="L17" s="108"/>
      <c r="M17" s="109"/>
      <c r="N17" s="109"/>
      <c r="O17" s="96"/>
      <c r="P17" s="96"/>
      <c r="Q17" s="110"/>
      <c r="R17" s="109"/>
      <c r="S17" s="111"/>
      <c r="T17" s="108"/>
      <c r="U17" s="112"/>
      <c r="V17" s="113"/>
      <c r="W17" s="108"/>
    </row>
    <row r="18" spans="2:23" s="86" customFormat="1" ht="12" customHeight="1">
      <c r="B18" s="86" t="s">
        <v>122</v>
      </c>
      <c r="I18" s="86" t="s">
        <v>118</v>
      </c>
      <c r="L18" s="111"/>
      <c r="M18" s="108"/>
      <c r="N18" s="112"/>
      <c r="O18" s="113"/>
      <c r="P18" s="108"/>
    </row>
    <row r="19" spans="2:23" s="86" customFormat="1" ht="12" customHeight="1">
      <c r="L19" s="111"/>
      <c r="M19" s="108"/>
      <c r="N19" s="112"/>
      <c r="O19" s="113"/>
      <c r="P19" s="108"/>
    </row>
    <row r="20" spans="2:23" s="86" customFormat="1" ht="12" customHeight="1">
      <c r="B20" s="86" t="s">
        <v>123</v>
      </c>
      <c r="L20" s="111"/>
      <c r="M20" s="108"/>
      <c r="N20" s="112"/>
      <c r="O20" s="113"/>
      <c r="P20" s="108"/>
    </row>
    <row r="21" spans="2:23" s="86" customFormat="1" ht="12" customHeight="1">
      <c r="L21" s="111"/>
      <c r="M21" s="108"/>
      <c r="N21" s="112"/>
      <c r="O21" s="113"/>
      <c r="P21" s="108"/>
    </row>
    <row r="22" spans="2:23" s="86" customFormat="1" ht="12" customHeight="1">
      <c r="L22" s="111"/>
      <c r="M22" s="108"/>
      <c r="N22" s="112"/>
      <c r="O22" s="113"/>
      <c r="P22" s="108"/>
    </row>
    <row r="23" spans="2:23" s="86" customFormat="1" ht="12" customHeight="1">
      <c r="L23" s="111"/>
      <c r="M23" s="108"/>
      <c r="N23" s="112"/>
      <c r="O23" s="113"/>
      <c r="P23" s="108"/>
    </row>
    <row r="24" spans="2:23" s="86" customFormat="1" ht="12" customHeight="1">
      <c r="B24" s="114"/>
      <c r="L24" s="111"/>
      <c r="M24" s="108"/>
      <c r="N24" s="112"/>
      <c r="O24" s="113"/>
      <c r="P24" s="108"/>
    </row>
    <row r="25" spans="2:23" s="86" customFormat="1" ht="15.75" customHeight="1">
      <c r="B25" s="114"/>
      <c r="L25" s="111"/>
      <c r="M25" s="108"/>
      <c r="N25" s="112"/>
      <c r="O25" s="113"/>
      <c r="P25" s="108"/>
    </row>
    <row r="26" spans="2:23" s="86" customFormat="1" ht="13.8">
      <c r="B26" s="232" t="s">
        <v>77</v>
      </c>
      <c r="C26" s="232"/>
      <c r="D26" s="232"/>
      <c r="E26" s="232"/>
      <c r="F26" s="232"/>
      <c r="G26" s="232"/>
      <c r="H26" s="232"/>
      <c r="I26" s="232"/>
      <c r="J26" s="232"/>
      <c r="K26" s="232"/>
      <c r="L26" s="111"/>
      <c r="M26" s="108"/>
      <c r="N26" s="112"/>
      <c r="O26" s="113"/>
      <c r="P26" s="108"/>
    </row>
    <row r="27" spans="2:23" s="86" customFormat="1" ht="6" customHeight="1"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8"/>
      <c r="M27" s="109"/>
      <c r="N27" s="109"/>
      <c r="O27" s="96"/>
      <c r="P27" s="96"/>
      <c r="Q27" s="110"/>
      <c r="R27" s="109"/>
      <c r="S27" s="111"/>
      <c r="T27" s="108"/>
      <c r="U27" s="112"/>
      <c r="V27" s="113"/>
      <c r="W27" s="108"/>
    </row>
    <row r="28" spans="2:23" s="86" customFormat="1" ht="12" customHeight="1">
      <c r="B28" s="152" t="s">
        <v>110</v>
      </c>
      <c r="C28" s="152"/>
      <c r="L28" s="111"/>
      <c r="M28" s="108"/>
      <c r="N28" s="112"/>
      <c r="O28" s="113"/>
      <c r="P28" s="108"/>
    </row>
    <row r="29" spans="2:23" s="86" customFormat="1" ht="12" customHeight="1">
      <c r="B29" s="152"/>
      <c r="L29" s="111"/>
      <c r="M29" s="108"/>
      <c r="N29" s="112"/>
      <c r="O29" s="113"/>
      <c r="P29" s="108"/>
    </row>
    <row r="30" spans="2:23" s="86" customFormat="1" ht="12" customHeight="1">
      <c r="B30" s="152"/>
      <c r="L30" s="111"/>
      <c r="M30" s="108"/>
      <c r="N30" s="112"/>
      <c r="O30" s="113"/>
      <c r="P30" s="108"/>
    </row>
    <row r="31" spans="2:23" s="86" customFormat="1" ht="13.8">
      <c r="B31" s="232" t="s">
        <v>40</v>
      </c>
      <c r="C31" s="232"/>
      <c r="D31" s="232"/>
      <c r="E31" s="232"/>
      <c r="F31" s="232"/>
      <c r="G31" s="232"/>
      <c r="H31" s="232"/>
      <c r="I31" s="232"/>
      <c r="J31" s="232"/>
      <c r="K31" s="232"/>
      <c r="L31" s="11"/>
      <c r="N31" s="86" t="s">
        <v>41</v>
      </c>
    </row>
    <row r="32" spans="2:23" s="86" customFormat="1" ht="12" customHeight="1" thickBot="1"/>
    <row r="33" spans="2:20" s="86" customFormat="1" ht="12" customHeight="1">
      <c r="B33" s="123" t="s">
        <v>49</v>
      </c>
      <c r="C33" s="115"/>
      <c r="D33" s="115"/>
      <c r="E33" s="116"/>
      <c r="F33" s="117" t="s">
        <v>42</v>
      </c>
      <c r="G33" s="187"/>
      <c r="H33" s="117" t="s">
        <v>43</v>
      </c>
      <c r="I33" s="237" t="s">
        <v>44</v>
      </c>
      <c r="J33" s="237"/>
      <c r="K33" s="238"/>
      <c r="L33" s="189" t="s">
        <v>92</v>
      </c>
      <c r="M33" s="189" t="s">
        <v>93</v>
      </c>
    </row>
    <row r="34" spans="2:20" s="86" customFormat="1" ht="12" customHeight="1">
      <c r="B34" s="173">
        <v>1.1000000000000001</v>
      </c>
      <c r="C34" s="118" t="s">
        <v>45</v>
      </c>
      <c r="D34" s="119"/>
      <c r="E34" s="119"/>
      <c r="F34" s="198">
        <f>'TG18'!C6</f>
        <v>4.5</v>
      </c>
      <c r="G34" s="151"/>
      <c r="H34" s="222" t="str">
        <f>IF(AND(F34&gt;=25,F34&lt;=75),$L$33,$M$33)</f>
        <v>O</v>
      </c>
      <c r="I34" s="249"/>
      <c r="J34" s="249"/>
      <c r="K34" s="250"/>
      <c r="L34" s="86" t="s">
        <v>112</v>
      </c>
      <c r="M34" s="218" t="s">
        <v>113</v>
      </c>
      <c r="T34" s="120"/>
    </row>
    <row r="35" spans="2:20" s="86" customFormat="1" ht="12" customHeight="1">
      <c r="B35" s="174">
        <v>1.2</v>
      </c>
      <c r="C35" s="118" t="s">
        <v>68</v>
      </c>
      <c r="D35" s="119"/>
      <c r="E35" s="119"/>
      <c r="F35" s="199">
        <f>ABS(F39-F49)/F39</f>
        <v>4.1125541125541128E-2</v>
      </c>
      <c r="G35" s="140"/>
      <c r="H35" s="189" t="str">
        <f>IF(F35&lt;0.1,$L$33,$M$33)</f>
        <v>P</v>
      </c>
      <c r="I35" s="15"/>
      <c r="J35" s="15"/>
      <c r="K35" s="122"/>
      <c r="L35" s="86" t="s">
        <v>66</v>
      </c>
      <c r="M35" s="220"/>
      <c r="T35" s="120"/>
    </row>
    <row r="36" spans="2:20" s="86" customFormat="1" ht="12" customHeight="1">
      <c r="B36" s="174">
        <v>1.3</v>
      </c>
      <c r="C36" s="118" t="s">
        <v>70</v>
      </c>
      <c r="D36" s="119"/>
      <c r="E36" s="119"/>
      <c r="F36" s="180">
        <f>'TG18'!D10</f>
        <v>0</v>
      </c>
      <c r="G36" s="180"/>
      <c r="H36" s="189" t="str">
        <f>IF(F36&lt;=L36,$L$33,$M$33)</f>
        <v>P</v>
      </c>
      <c r="I36" s="233"/>
      <c r="J36" s="233"/>
      <c r="K36" s="234"/>
      <c r="L36" s="219">
        <f>MIN('TG18'!C14*0.25,'TG18'!C56*0.25)</f>
        <v>0.13375000000000001</v>
      </c>
      <c r="M36" s="220" t="s">
        <v>113</v>
      </c>
      <c r="N36" s="223"/>
      <c r="O36" s="224"/>
      <c r="Q36"/>
      <c r="R36"/>
      <c r="S36" s="204" t="s">
        <v>97</v>
      </c>
      <c r="T36" s="120"/>
    </row>
    <row r="37" spans="2:20" s="6" customFormat="1" ht="12" customHeight="1">
      <c r="B37" s="174"/>
      <c r="C37" s="29" t="str">
        <f>'TG18'!A51</f>
        <v>Right Monitor</v>
      </c>
      <c r="D37" s="132"/>
      <c r="E37" s="120"/>
      <c r="F37" s="76"/>
      <c r="G37" s="135"/>
      <c r="H37" s="190"/>
      <c r="I37" s="76"/>
      <c r="J37" s="76"/>
      <c r="K37" s="136"/>
      <c r="L37" s="86"/>
      <c r="Q37" s="205" t="s">
        <v>98</v>
      </c>
      <c r="R37" s="206"/>
      <c r="S37" s="207" t="s">
        <v>117</v>
      </c>
      <c r="T37" s="120"/>
    </row>
    <row r="38" spans="2:20" s="6" customFormat="1" ht="12" customHeight="1">
      <c r="B38" s="174">
        <v>1.4</v>
      </c>
      <c r="C38" s="118" t="s">
        <v>87</v>
      </c>
      <c r="D38" s="119"/>
      <c r="E38" s="119"/>
      <c r="F38" s="200">
        <f>'TG18'!C74</f>
        <v>0.53500000000000003</v>
      </c>
      <c r="G38" s="137"/>
      <c r="H38" s="191" t="str">
        <f>IF(F38&lt;2,$L$33,$M$33)</f>
        <v>P</v>
      </c>
      <c r="I38" s="15"/>
      <c r="J38" s="15"/>
      <c r="K38" s="122"/>
      <c r="L38" s="86" t="s">
        <v>78</v>
      </c>
      <c r="Q38" s="208" t="s">
        <v>111</v>
      </c>
      <c r="R38" s="209"/>
      <c r="S38" s="217">
        <v>45233</v>
      </c>
      <c r="T38" s="120"/>
    </row>
    <row r="39" spans="2:20" s="6" customFormat="1" ht="12" customHeight="1">
      <c r="B39" s="174">
        <v>1.5</v>
      </c>
      <c r="C39" s="118" t="s">
        <v>88</v>
      </c>
      <c r="D39" s="119"/>
      <c r="E39" s="119"/>
      <c r="F39" s="201">
        <f>'TG18'!C75</f>
        <v>462</v>
      </c>
      <c r="G39" s="138"/>
      <c r="H39" s="191" t="str">
        <f>IF(F39&lt;450,$M$33,$L$33)</f>
        <v>P</v>
      </c>
      <c r="I39" s="15"/>
      <c r="J39" s="15"/>
      <c r="K39" s="122"/>
      <c r="L39" s="86" t="s">
        <v>116</v>
      </c>
      <c r="M39" s="218" t="s">
        <v>113</v>
      </c>
      <c r="Q39" s="208" t="s">
        <v>99</v>
      </c>
      <c r="R39" s="209"/>
      <c r="S39" s="210" t="s">
        <v>92</v>
      </c>
      <c r="T39" s="120"/>
    </row>
    <row r="40" spans="2:20" s="6" customFormat="1" ht="12" customHeight="1">
      <c r="B40" s="174">
        <v>1.6</v>
      </c>
      <c r="C40" s="118" t="s">
        <v>24</v>
      </c>
      <c r="D40" s="119"/>
      <c r="E40" s="119"/>
      <c r="F40" s="202">
        <f>'TG18'!F74</f>
        <v>863.55140186915878</v>
      </c>
      <c r="G40" s="121"/>
      <c r="H40" s="190"/>
      <c r="I40" s="15"/>
      <c r="J40" s="15"/>
      <c r="K40" s="122"/>
      <c r="L40" s="86">
        <v>850</v>
      </c>
      <c r="Q40" s="208" t="s">
        <v>100</v>
      </c>
      <c r="R40" s="209"/>
      <c r="S40"/>
      <c r="T40" s="120"/>
    </row>
    <row r="41" spans="2:20" s="6" customFormat="1" ht="12" customHeight="1">
      <c r="B41" s="174">
        <v>1.7</v>
      </c>
      <c r="C41" s="118" t="s">
        <v>79</v>
      </c>
      <c r="D41" s="119"/>
      <c r="E41" s="119"/>
      <c r="F41" s="202">
        <f>'TG18'!F75</f>
        <v>863.55140186915878</v>
      </c>
      <c r="G41" s="121"/>
      <c r="H41" s="191" t="str">
        <f>IF(F41&lt;250,$M$33,$L$33)</f>
        <v>P</v>
      </c>
      <c r="I41" s="233"/>
      <c r="J41" s="233"/>
      <c r="K41" s="234"/>
      <c r="L41" s="86" t="s">
        <v>67</v>
      </c>
      <c r="Q41" s="208"/>
      <c r="R41" s="209" t="s">
        <v>101</v>
      </c>
      <c r="S41" s="211">
        <v>500</v>
      </c>
      <c r="T41" s="120"/>
    </row>
    <row r="42" spans="2:20" s="6" customFormat="1" ht="12" customHeight="1">
      <c r="B42" s="174">
        <v>1.8</v>
      </c>
      <c r="C42" s="120" t="s">
        <v>82</v>
      </c>
      <c r="D42" s="119"/>
      <c r="E42" s="119"/>
      <c r="F42" s="24">
        <f>'TG18'!I33</f>
        <v>1</v>
      </c>
      <c r="G42" s="154"/>
      <c r="H42" s="191" t="str">
        <f>IF(F42&lt;0.6,$M$33,$L$33)</f>
        <v>P</v>
      </c>
      <c r="I42" s="15"/>
      <c r="J42" s="15"/>
      <c r="K42" s="122"/>
      <c r="L42" s="86" t="s">
        <v>83</v>
      </c>
      <c r="Q42" s="208"/>
      <c r="R42" s="212" t="s">
        <v>102</v>
      </c>
      <c r="S42" s="213">
        <v>0.6</v>
      </c>
      <c r="T42" s="120"/>
    </row>
    <row r="43" spans="2:20" s="6" customFormat="1" ht="12" customHeight="1">
      <c r="B43" s="174">
        <v>1.9</v>
      </c>
      <c r="C43" s="120" t="s">
        <v>46</v>
      </c>
      <c r="D43" s="119"/>
      <c r="E43" s="119"/>
      <c r="F43" s="199">
        <f>MAX('TG18'!I57:I73)/100</f>
        <v>3.7912878534058135E-2</v>
      </c>
      <c r="G43" s="140"/>
      <c r="H43" s="191" t="str">
        <f>IF(F43&lt;0.1,$L$33,$M$33)</f>
        <v>P</v>
      </c>
      <c r="I43" s="235"/>
      <c r="J43" s="235"/>
      <c r="K43" s="236"/>
      <c r="L43" s="86" t="s">
        <v>66</v>
      </c>
      <c r="M43" s="225"/>
      <c r="Q43" s="208" t="s">
        <v>103</v>
      </c>
      <c r="R43" s="209"/>
      <c r="S43"/>
      <c r="T43" s="120"/>
    </row>
    <row r="44" spans="2:20" s="6" customFormat="1" ht="12" customHeight="1">
      <c r="B44" s="175">
        <v>1.1000000000000001</v>
      </c>
      <c r="C44" s="120" t="s">
        <v>48</v>
      </c>
      <c r="D44" s="119"/>
      <c r="E44" s="119" t="s">
        <v>71</v>
      </c>
      <c r="F44" s="203">
        <f>'TG18'!C95/100</f>
        <v>9.958506224066381E-2</v>
      </c>
      <c r="G44" s="139"/>
      <c r="H44" s="191" t="str">
        <f>IF(F44&lt;0.3,$L$33,$M$33)</f>
        <v>P</v>
      </c>
      <c r="I44" s="15"/>
      <c r="J44" s="15"/>
      <c r="K44" s="122"/>
      <c r="L44" s="86" t="s">
        <v>75</v>
      </c>
      <c r="Q44" s="208"/>
      <c r="R44" s="209" t="s">
        <v>104</v>
      </c>
      <c r="S44" s="211">
        <v>0</v>
      </c>
      <c r="T44" s="120"/>
    </row>
    <row r="45" spans="2:20" s="6" customFormat="1" ht="12" customHeight="1">
      <c r="B45" s="174"/>
      <c r="C45" s="120"/>
      <c r="D45" s="119"/>
      <c r="E45" s="119" t="s">
        <v>74</v>
      </c>
      <c r="F45" s="203">
        <f>'TG18'!C108/100</f>
        <v>3.6363636363636362E-2</v>
      </c>
      <c r="G45" s="139"/>
      <c r="H45" s="191" t="str">
        <f>IF(F45&lt;0.3,$L$33,$M$33)</f>
        <v>P</v>
      </c>
      <c r="I45" s="15"/>
      <c r="J45" s="15"/>
      <c r="K45" s="122"/>
      <c r="L45" s="86" t="s">
        <v>75</v>
      </c>
      <c r="Q45" s="208" t="s">
        <v>105</v>
      </c>
      <c r="R45" s="209"/>
      <c r="S45"/>
      <c r="T45" s="120"/>
    </row>
    <row r="46" spans="2:20" s="6" customFormat="1" ht="12" customHeight="1">
      <c r="B46" s="174">
        <v>1.1100000000000001</v>
      </c>
      <c r="C46" s="120" t="s">
        <v>47</v>
      </c>
      <c r="D46" s="119"/>
      <c r="E46" s="119"/>
      <c r="F46" s="15" t="str">
        <f>'TG18'!E113</f>
        <v>none present</v>
      </c>
      <c r="G46" s="7"/>
      <c r="H46" s="190"/>
      <c r="I46" s="15"/>
      <c r="J46" s="15"/>
      <c r="K46" s="122"/>
      <c r="L46" s="86"/>
      <c r="P46" s="6">
        <f>48/25</f>
        <v>1.92</v>
      </c>
      <c r="Q46" s="208"/>
      <c r="R46" s="209" t="s">
        <v>106</v>
      </c>
      <c r="S46" s="211" t="s">
        <v>107</v>
      </c>
    </row>
    <row r="47" spans="2:20" s="86" customFormat="1" ht="12" customHeight="1">
      <c r="B47" s="172"/>
      <c r="C47" s="29" t="str">
        <f>'TG18'!A9</f>
        <v>Left Monitor</v>
      </c>
      <c r="D47" s="119"/>
      <c r="E47" s="119"/>
      <c r="F47" s="15"/>
      <c r="G47" s="7"/>
      <c r="H47" s="190"/>
      <c r="I47" s="15"/>
      <c r="J47" s="15"/>
      <c r="K47" s="122"/>
      <c r="Q47" s="214"/>
      <c r="R47" s="215" t="s">
        <v>108</v>
      </c>
      <c r="S47" s="216" t="s">
        <v>109</v>
      </c>
    </row>
    <row r="48" spans="2:20" s="86" customFormat="1" ht="12" customHeight="1">
      <c r="B48" s="174">
        <v>1.1200000000000001</v>
      </c>
      <c r="C48" s="118" t="s">
        <v>87</v>
      </c>
      <c r="D48" s="119"/>
      <c r="E48" s="119"/>
      <c r="F48" s="200">
        <f>'TG18'!C32</f>
        <v>0.60099999999999998</v>
      </c>
      <c r="G48" s="137"/>
      <c r="H48" s="189" t="str">
        <f>IF(F48&lt;2,$L$33,$M$33)</f>
        <v>P</v>
      </c>
      <c r="I48" s="15"/>
      <c r="J48" s="15"/>
      <c r="K48" s="122"/>
      <c r="L48" s="86" t="s">
        <v>78</v>
      </c>
    </row>
    <row r="49" spans="2:13" s="86" customFormat="1" ht="12" customHeight="1">
      <c r="B49" s="174">
        <v>1.1299999999999999</v>
      </c>
      <c r="C49" s="118" t="s">
        <v>88</v>
      </c>
      <c r="D49" s="119"/>
      <c r="E49" s="119"/>
      <c r="F49" s="201">
        <f>'TG18'!C33</f>
        <v>481</v>
      </c>
      <c r="G49" s="138"/>
      <c r="H49" s="189" t="str">
        <f>IF(F49&lt;450,$M$33,$L$33)</f>
        <v>P</v>
      </c>
      <c r="I49" s="15"/>
      <c r="J49" s="15"/>
      <c r="K49" s="122"/>
      <c r="L49" s="86" t="s">
        <v>116</v>
      </c>
      <c r="M49" s="218" t="s">
        <v>113</v>
      </c>
    </row>
    <row r="50" spans="2:13" s="86" customFormat="1" ht="12" customHeight="1">
      <c r="B50" s="174">
        <v>1.1399999999999999</v>
      </c>
      <c r="C50" s="118" t="s">
        <v>24</v>
      </c>
      <c r="D50" s="119"/>
      <c r="E50" s="119"/>
      <c r="F50" s="202">
        <f>'TG18'!F32</f>
        <v>800.33277870216307</v>
      </c>
      <c r="G50" s="121"/>
      <c r="H50" s="190"/>
      <c r="I50" s="181"/>
      <c r="J50" s="181"/>
      <c r="K50" s="122"/>
      <c r="L50" s="86">
        <v>850</v>
      </c>
    </row>
    <row r="51" spans="2:13" s="86" customFormat="1" ht="12" customHeight="1">
      <c r="B51" s="174">
        <v>1.1499999999999999</v>
      </c>
      <c r="C51" s="118" t="s">
        <v>79</v>
      </c>
      <c r="D51" s="119"/>
      <c r="E51" s="119"/>
      <c r="F51" s="202">
        <f>'TG18'!F33</f>
        <v>800.33277870216307</v>
      </c>
      <c r="G51" s="121"/>
      <c r="H51" s="189" t="str">
        <f>IF(F51&lt;250,$M$33,$L$33)</f>
        <v>P</v>
      </c>
      <c r="I51" s="233"/>
      <c r="J51" s="233"/>
      <c r="K51" s="234"/>
      <c r="L51" s="86" t="s">
        <v>67</v>
      </c>
    </row>
    <row r="52" spans="2:13" s="86" customFormat="1" ht="12" customHeight="1">
      <c r="B52" s="174">
        <v>1.1599999999999999</v>
      </c>
      <c r="C52" s="120" t="s">
        <v>82</v>
      </c>
      <c r="D52" s="119"/>
      <c r="E52" s="119"/>
      <c r="F52" s="24">
        <f>'TG18'!I33</f>
        <v>1</v>
      </c>
      <c r="G52" s="154"/>
      <c r="H52" s="189" t="str">
        <f>IF(F52&lt;0.6,$M$33,$L$33)</f>
        <v>P</v>
      </c>
      <c r="I52" s="15"/>
      <c r="J52" s="15"/>
      <c r="K52" s="122"/>
      <c r="L52" s="86" t="s">
        <v>83</v>
      </c>
    </row>
    <row r="53" spans="2:13" s="86" customFormat="1" ht="12" customHeight="1">
      <c r="B53" s="174">
        <v>1.17</v>
      </c>
      <c r="C53" s="120" t="s">
        <v>46</v>
      </c>
      <c r="D53" s="119"/>
      <c r="E53" s="119"/>
      <c r="F53" s="199">
        <f>MAX('TG18'!I15:I31)/100</f>
        <v>7.1731462890360836E-2</v>
      </c>
      <c r="G53" s="140"/>
      <c r="H53" s="189" t="str">
        <f>IF(F53&lt;0.1,$L$33,$M$33)</f>
        <v>P</v>
      </c>
      <c r="I53" s="235"/>
      <c r="J53" s="235"/>
      <c r="K53" s="236"/>
      <c r="L53" s="86" t="s">
        <v>66</v>
      </c>
      <c r="M53" s="225"/>
    </row>
    <row r="54" spans="2:13" s="86" customFormat="1" ht="12" customHeight="1">
      <c r="B54" s="174">
        <v>1.18</v>
      </c>
      <c r="C54" s="120" t="s">
        <v>48</v>
      </c>
      <c r="D54" s="119"/>
      <c r="E54" s="119" t="s">
        <v>71</v>
      </c>
      <c r="F54" s="203">
        <f>'TG18'!C89/100</f>
        <v>7.6458752515090503E-2</v>
      </c>
      <c r="G54" s="139"/>
      <c r="H54" s="189" t="str">
        <f>IF(F54&lt;0.3,$L$33,$M$33)</f>
        <v>P</v>
      </c>
      <c r="I54" s="15"/>
      <c r="J54" s="15"/>
      <c r="K54" s="122"/>
      <c r="L54" s="86" t="s">
        <v>75</v>
      </c>
    </row>
    <row r="55" spans="2:13" s="86" customFormat="1" ht="12" customHeight="1">
      <c r="B55" s="174"/>
      <c r="C55" s="120"/>
      <c r="D55" s="119"/>
      <c r="E55" s="119" t="s">
        <v>74</v>
      </c>
      <c r="F55" s="203">
        <f>'TG18'!C102/100</f>
        <v>2.0202020202020204E-2</v>
      </c>
      <c r="G55" s="139"/>
      <c r="H55" s="189" t="str">
        <f>IF(F55&lt;0.3,$L$33,$M$33)</f>
        <v>P</v>
      </c>
      <c r="I55" s="15"/>
      <c r="J55" s="15"/>
      <c r="K55" s="122"/>
      <c r="L55" s="86" t="s">
        <v>75</v>
      </c>
    </row>
    <row r="56" spans="2:13" s="86" customFormat="1" ht="12" customHeight="1" thickBot="1">
      <c r="B56" s="178">
        <v>1.19</v>
      </c>
      <c r="C56" s="124" t="s">
        <v>47</v>
      </c>
      <c r="D56" s="125"/>
      <c r="E56" s="125"/>
      <c r="F56" s="127" t="str">
        <f>'TG18'!C113</f>
        <v>none present</v>
      </c>
      <c r="G56" s="126"/>
      <c r="H56" s="192"/>
      <c r="I56" s="127"/>
      <c r="J56" s="127"/>
      <c r="K56" s="128"/>
      <c r="L56" s="86" t="s">
        <v>66</v>
      </c>
    </row>
    <row r="57" spans="2:13" s="86" customFormat="1" ht="11.4">
      <c r="B57" s="118"/>
      <c r="C57" s="120"/>
      <c r="D57" s="119"/>
      <c r="E57" s="119"/>
      <c r="F57" s="120"/>
      <c r="G57" s="7"/>
      <c r="H57" s="7"/>
      <c r="I57" s="15"/>
      <c r="J57" s="15"/>
      <c r="K57" s="15"/>
    </row>
    <row r="58" spans="2:13" s="86" customFormat="1" ht="12" customHeight="1"/>
    <row r="59" spans="2:13" s="86" customFormat="1" ht="12" customHeight="1"/>
    <row r="60" spans="2:13" s="86" customFormat="1" ht="12" customHeight="1"/>
    <row r="61" spans="2:13" s="86" customFormat="1" ht="12" customHeight="1"/>
    <row r="62" spans="2:13" s="86" customFormat="1" ht="12" customHeight="1"/>
    <row r="63" spans="2:13" s="86" customFormat="1" ht="12" customHeight="1"/>
    <row r="64" spans="2:13" s="86" customFormat="1" ht="12" customHeight="1">
      <c r="C64" s="239" t="s">
        <v>114</v>
      </c>
      <c r="D64" s="240"/>
      <c r="E64" s="240"/>
      <c r="F64" s="240"/>
      <c r="G64" s="240"/>
      <c r="H64" s="240"/>
      <c r="I64" s="240"/>
      <c r="J64" s="240"/>
      <c r="K64" s="240"/>
      <c r="L64" s="241"/>
    </row>
    <row r="65" spans="3:12" s="86" customFormat="1" ht="12" customHeight="1">
      <c r="C65" s="242"/>
      <c r="D65" s="243"/>
      <c r="E65" s="243"/>
      <c r="F65" s="243"/>
      <c r="G65" s="243"/>
      <c r="H65" s="243"/>
      <c r="I65" s="243"/>
      <c r="J65" s="243"/>
      <c r="K65" s="243"/>
      <c r="L65" s="244"/>
    </row>
    <row r="66" spans="3:12" s="86" customFormat="1" ht="12" customHeight="1">
      <c r="C66" s="242"/>
      <c r="D66" s="243"/>
      <c r="E66" s="243"/>
      <c r="F66" s="243"/>
      <c r="G66" s="243"/>
      <c r="H66" s="243"/>
      <c r="I66" s="243"/>
      <c r="J66" s="243"/>
      <c r="K66" s="243"/>
      <c r="L66" s="244"/>
    </row>
    <row r="67" spans="3:12" s="86" customFormat="1" ht="12" customHeight="1">
      <c r="C67" s="242"/>
      <c r="D67" s="243"/>
      <c r="E67" s="243"/>
      <c r="F67" s="243"/>
      <c r="G67" s="243"/>
      <c r="H67" s="243"/>
      <c r="I67" s="243"/>
      <c r="J67" s="243"/>
      <c r="K67" s="243"/>
      <c r="L67" s="244"/>
    </row>
    <row r="68" spans="3:12" s="86" customFormat="1" ht="12" customHeight="1">
      <c r="C68" s="245"/>
      <c r="D68" s="246"/>
      <c r="E68" s="246"/>
      <c r="F68" s="246"/>
      <c r="G68" s="246"/>
      <c r="H68" s="246"/>
      <c r="I68" s="246"/>
      <c r="J68" s="246"/>
      <c r="K68" s="246"/>
      <c r="L68" s="247"/>
    </row>
    <row r="69" spans="3:12" s="86" customFormat="1" ht="12" customHeight="1"/>
    <row r="70" spans="3:12" s="86" customFormat="1" ht="12" customHeight="1">
      <c r="C70" s="248" t="s">
        <v>115</v>
      </c>
      <c r="D70" s="248"/>
      <c r="E70" s="221"/>
    </row>
    <row r="71" spans="3:12" s="86" customFormat="1" ht="12" customHeight="1"/>
    <row r="72" spans="3:12" s="86" customFormat="1" ht="12" customHeight="1"/>
    <row r="73" spans="3:12" s="86" customFormat="1" ht="12" customHeight="1"/>
    <row r="74" spans="3:12" s="86" customFormat="1" ht="12" customHeight="1"/>
    <row r="75" spans="3:12" s="86" customFormat="1" ht="12" customHeight="1"/>
    <row r="76" spans="3:12" s="86" customFormat="1" ht="12" customHeight="1"/>
    <row r="77" spans="3:12" s="86" customFormat="1" ht="12" customHeight="1"/>
    <row r="78" spans="3:12" s="86" customFormat="1" ht="12" customHeight="1"/>
    <row r="79" spans="3:12" s="86" customFormat="1" ht="12" customHeight="1"/>
    <row r="80" spans="3:12" s="86" customFormat="1" ht="12" customHeight="1"/>
    <row r="81" s="86" customFormat="1" ht="12" customHeight="1"/>
    <row r="82" s="86" customFormat="1" ht="12" customHeight="1"/>
    <row r="83" s="86" customFormat="1" ht="12" customHeight="1"/>
    <row r="84" s="86" customFormat="1" ht="12" customHeight="1"/>
    <row r="85" s="86" customFormat="1" ht="12" customHeight="1"/>
    <row r="86" s="86" customFormat="1" ht="12" customHeight="1"/>
    <row r="87" s="86" customFormat="1" ht="12" customHeight="1"/>
    <row r="88" s="86" customFormat="1" ht="12" customHeight="1"/>
    <row r="89" s="86" customFormat="1" ht="12" customHeight="1"/>
    <row r="90" s="86" customFormat="1" ht="12" customHeight="1"/>
    <row r="91" s="86" customFormat="1" ht="12" customHeight="1"/>
    <row r="92" s="86" customFormat="1" ht="12" customHeight="1"/>
    <row r="93" s="86" customFormat="1" ht="12" customHeight="1"/>
    <row r="94" s="86" customFormat="1" ht="12" customHeight="1"/>
  </sheetData>
  <mergeCells count="12">
    <mergeCell ref="C64:L68"/>
    <mergeCell ref="C70:D70"/>
    <mergeCell ref="I34:K34"/>
    <mergeCell ref="B16:K16"/>
    <mergeCell ref="B31:K31"/>
    <mergeCell ref="B26:K26"/>
    <mergeCell ref="I51:K51"/>
    <mergeCell ref="I53:K53"/>
    <mergeCell ref="I33:K33"/>
    <mergeCell ref="I36:K36"/>
    <mergeCell ref="I41:K41"/>
    <mergeCell ref="I43:K43"/>
  </mergeCells>
  <phoneticPr fontId="9" type="noConversion"/>
  <pageMargins left="0.28999999999999998" right="0.16" top="0.18" bottom="0.17" header="0.17" footer="0.17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114"/>
  <sheetViews>
    <sheetView zoomScaleNormal="100" zoomScaleSheetLayoutView="50" workbookViewId="0">
      <selection activeCell="J2" sqref="J2"/>
    </sheetView>
  </sheetViews>
  <sheetFormatPr defaultColWidth="9.109375" defaultRowHeight="11.4"/>
  <cols>
    <col min="1" max="1" width="9.109375" style="6"/>
    <col min="2" max="2" width="12" style="6" customWidth="1"/>
    <col min="3" max="3" width="9.109375" style="6"/>
    <col min="4" max="4" width="9.6640625" style="6" customWidth="1"/>
    <col min="5" max="5" width="10.109375" style="6" customWidth="1"/>
    <col min="6" max="6" width="9.109375" style="6"/>
    <col min="7" max="7" width="8.88671875" style="6" customWidth="1"/>
    <col min="8" max="8" width="9.44140625" style="6" customWidth="1"/>
    <col min="9" max="9" width="11" style="6" customWidth="1"/>
    <col min="10" max="10" width="10.33203125" style="6" customWidth="1"/>
    <col min="11" max="11" width="9.109375" style="6"/>
    <col min="12" max="12" width="8.6640625" style="6" customWidth="1"/>
    <col min="13" max="13" width="8.5546875" style="6" customWidth="1"/>
    <col min="14" max="16" width="9.109375" style="6"/>
    <col min="17" max="17" width="9.5546875" style="6" customWidth="1"/>
    <col min="18" max="20" width="9.109375" style="6"/>
    <col min="21" max="21" width="8" style="6" customWidth="1"/>
    <col min="22" max="16384" width="9.109375" style="6"/>
  </cols>
  <sheetData>
    <row r="1" spans="1:256" ht="12">
      <c r="J1" s="176" t="str">
        <f>QAReport!D8 &amp;", " &amp;QAReport!D9</f>
        <v>, Reporting Monitor X</v>
      </c>
    </row>
    <row r="2" spans="1:256" ht="12">
      <c r="J2" s="179">
        <f>QAReport!D10</f>
        <v>45658</v>
      </c>
    </row>
    <row r="3" spans="1:256" ht="3" customHeight="1">
      <c r="H3" s="71"/>
      <c r="I3" s="71"/>
      <c r="J3" s="177"/>
    </row>
    <row r="5" spans="1:256" ht="12">
      <c r="A5" s="2" t="s">
        <v>45</v>
      </c>
      <c r="O5" s="76" t="s">
        <v>15</v>
      </c>
      <c r="P5" s="3" t="s">
        <v>26</v>
      </c>
    </row>
    <row r="6" spans="1:256" ht="12">
      <c r="A6" s="129" t="s">
        <v>50</v>
      </c>
      <c r="B6" s="130"/>
      <c r="C6" s="188">
        <v>4.5</v>
      </c>
    </row>
    <row r="8" spans="1:256" ht="12">
      <c r="A8" s="2" t="s">
        <v>16</v>
      </c>
      <c r="D8" s="3"/>
      <c r="E8" s="4"/>
    </row>
    <row r="9" spans="1:256" ht="12">
      <c r="A9" s="29" t="s">
        <v>22</v>
      </c>
      <c r="B9" s="15"/>
      <c r="C9" s="15"/>
      <c r="D9" s="15"/>
      <c r="E9" s="8"/>
      <c r="F9" s="15"/>
      <c r="G9" s="15"/>
      <c r="P9" s="8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</row>
    <row r="10" spans="1:256" ht="12">
      <c r="A10" s="16" t="s">
        <v>69</v>
      </c>
      <c r="B10" s="17"/>
      <c r="C10" s="18"/>
      <c r="D10" s="143">
        <f>unfors!E2</f>
        <v>0</v>
      </c>
      <c r="E10" s="30"/>
      <c r="F10" s="19" t="s">
        <v>18</v>
      </c>
      <c r="G10" s="20">
        <v>12</v>
      </c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  <c r="IU10" s="8"/>
    </row>
    <row r="11" spans="1:256" s="8" customFormat="1" ht="12">
      <c r="A11" s="29"/>
      <c r="B11" s="15"/>
      <c r="C11" s="15"/>
      <c r="D11" s="15"/>
      <c r="E11" s="15"/>
      <c r="F11" s="15"/>
      <c r="G11" s="15"/>
      <c r="H11" s="15"/>
      <c r="I11" s="15"/>
      <c r="O11" s="3" t="s">
        <v>0</v>
      </c>
      <c r="P11" s="15"/>
      <c r="Q11" s="15"/>
      <c r="R11" s="6"/>
      <c r="S11" s="15"/>
      <c r="T11" s="6"/>
      <c r="U11" s="15"/>
      <c r="V11" s="15"/>
      <c r="W11" s="15"/>
      <c r="X11" s="15"/>
      <c r="Y11" s="15"/>
      <c r="Z11" s="15"/>
      <c r="AA11" s="15"/>
    </row>
    <row r="12" spans="1:256" ht="12" customHeight="1">
      <c r="A12" s="256" t="s">
        <v>17</v>
      </c>
      <c r="B12" s="257"/>
      <c r="C12" s="253" t="s">
        <v>84</v>
      </c>
      <c r="D12" s="254"/>
      <c r="E12" s="21" t="s">
        <v>2</v>
      </c>
      <c r="F12" s="21" t="s">
        <v>3</v>
      </c>
      <c r="G12" s="261" t="s">
        <v>11</v>
      </c>
      <c r="H12" s="32" t="s">
        <v>14</v>
      </c>
      <c r="I12" s="21" t="s">
        <v>28</v>
      </c>
      <c r="O12" s="260" t="s">
        <v>17</v>
      </c>
      <c r="P12" s="260"/>
      <c r="Q12" s="31" t="s">
        <v>1</v>
      </c>
      <c r="R12" s="31" t="s">
        <v>2</v>
      </c>
      <c r="S12" s="31" t="s">
        <v>3</v>
      </c>
      <c r="T12" s="258" t="s">
        <v>3</v>
      </c>
      <c r="U12" s="259"/>
      <c r="V12" s="258" t="s">
        <v>2</v>
      </c>
      <c r="W12" s="259"/>
      <c r="X12" s="256" t="s">
        <v>11</v>
      </c>
      <c r="Y12" s="255"/>
      <c r="Z12" s="257"/>
      <c r="AA12" s="32" t="s">
        <v>14</v>
      </c>
      <c r="AB12" s="15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  <c r="IU12" s="8"/>
      <c r="IV12" s="8"/>
    </row>
    <row r="13" spans="1:256" ht="12">
      <c r="A13" s="64" t="s">
        <v>26</v>
      </c>
      <c r="B13" s="19" t="s">
        <v>4</v>
      </c>
      <c r="C13" s="195" t="s">
        <v>85</v>
      </c>
      <c r="D13" s="160" t="s">
        <v>86</v>
      </c>
      <c r="E13" s="14" t="s">
        <v>6</v>
      </c>
      <c r="F13" s="51"/>
      <c r="G13" s="262"/>
      <c r="H13" s="37" t="s">
        <v>2</v>
      </c>
      <c r="I13" s="14" t="s">
        <v>19</v>
      </c>
      <c r="K13" s="5"/>
      <c r="O13" s="33" t="s">
        <v>12</v>
      </c>
      <c r="P13" s="33" t="s">
        <v>4</v>
      </c>
      <c r="Q13" s="33" t="s">
        <v>5</v>
      </c>
      <c r="R13" s="33" t="s">
        <v>6</v>
      </c>
      <c r="S13" s="34"/>
      <c r="T13" s="39" t="s">
        <v>7</v>
      </c>
      <c r="U13" s="38" t="s">
        <v>8</v>
      </c>
      <c r="V13" s="39" t="s">
        <v>7</v>
      </c>
      <c r="W13" s="38" t="s">
        <v>8</v>
      </c>
      <c r="X13" s="40">
        <v>0</v>
      </c>
      <c r="Y13" s="35" t="s">
        <v>7</v>
      </c>
      <c r="Z13" s="38" t="s">
        <v>8</v>
      </c>
      <c r="AA13" s="37" t="s">
        <v>2</v>
      </c>
      <c r="AB13" s="15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</row>
    <row r="14" spans="1:256" ht="12">
      <c r="A14" s="62">
        <v>1</v>
      </c>
      <c r="B14" s="144">
        <f>IF($A$13="TG18-QC",0,0)</f>
        <v>0</v>
      </c>
      <c r="C14" s="196">
        <f>unfors!E4</f>
        <v>0.60099999999999998</v>
      </c>
      <c r="D14" s="133">
        <f>IF(C14="","",C14+$D$10)</f>
        <v>0.60099999999999998</v>
      </c>
      <c r="E14" s="66">
        <f>R14</f>
        <v>52.525531286411756</v>
      </c>
      <c r="F14" s="66"/>
      <c r="G14" s="53"/>
      <c r="H14" s="52"/>
      <c r="I14" s="54"/>
      <c r="K14" s="1"/>
      <c r="O14" s="15">
        <v>1</v>
      </c>
      <c r="P14" s="15">
        <v>0</v>
      </c>
      <c r="Q14" s="22">
        <f>IF(D14="","",D14)</f>
        <v>0.60099999999999998</v>
      </c>
      <c r="R14" s="30">
        <f>IF(D14="","",(71.498068+94.593053*LOG(Q14,10)+41.912053*POWER(LOG(Q14,10),2)+9.8247004*POWER(LOG(Q14,10),3)+0.28175407*POWER(LOG(Q14,10),4)-1.1878455*POWER(LOG(Q14,10),5)-0.18014349*POWER(LOG(Q14,10),6)+0.14710899*POWER(LOG(Q14,10),7)-0.017046845*POWER(LOG(Q14,10),8)))</f>
        <v>52.525531286411756</v>
      </c>
      <c r="V14" s="30">
        <f t="shared" ref="V14:V31" si="0">IF($C$31="","",R14*1.1)</f>
        <v>57.778084415052938</v>
      </c>
      <c r="W14" s="30">
        <f t="shared" ref="W14:W31" si="1">IF($C$31="","",R14*0.9)</f>
        <v>47.272978157770581</v>
      </c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</row>
    <row r="15" spans="1:256" ht="12">
      <c r="A15" s="62">
        <f t="shared" ref="A15:A31" si="2">A14+1</f>
        <v>2</v>
      </c>
      <c r="B15" s="62">
        <f>IF($A$13="TG18-QC",128,240)</f>
        <v>240</v>
      </c>
      <c r="C15" s="194">
        <f>unfors!E5</f>
        <v>1.51</v>
      </c>
      <c r="D15" s="133">
        <f>IF(C15="","",C15+$D$10)</f>
        <v>1.51</v>
      </c>
      <c r="E15" s="66">
        <f>R15</f>
        <v>90.62190934800806</v>
      </c>
      <c r="F15" s="66">
        <f>IF($D$31="","",((D15-D14)/(0.5*(D15+D14))))</f>
        <v>0.86120322122216975</v>
      </c>
      <c r="G15" s="55">
        <f>IF(C15="","",F15/(E15-E14))</f>
        <v>2.2605908095245417E-2</v>
      </c>
      <c r="H15" s="59">
        <f>IF(C15="","",(E15+E14)/2)</f>
        <v>71.573720317209904</v>
      </c>
      <c r="I15" s="56">
        <f t="shared" ref="I15:I31" si="3">IF(D15="","",(ABS(X15-G15)/X15)*100)</f>
        <v>1.4925949781555437</v>
      </c>
      <c r="J15" s="15"/>
      <c r="K15" s="1"/>
      <c r="O15" s="8">
        <f t="shared" ref="O15:O31" si="4">O14+1</f>
        <v>2</v>
      </c>
      <c r="P15" s="8">
        <f t="shared" ref="P15:P31" si="5">B15</f>
        <v>240</v>
      </c>
      <c r="Q15" s="24">
        <f>IF($C$31="","",(10^((-1.3011877+(0.080242636*LN(R15))+(0.13646699*(LN(R15))^2)+(-0.025468404*(LN(R15))^3)+(0.0013635334*(LN(R15))^4))/(1+(-0.025840191*LN(R15))+(-0.10320229*(LN(R15))^2)+(0.02874562*(LN(R15))^3)+(-0.0031978977*(LN(R15))^4)+(0.00012992634*(LN(R15))^5)))))</f>
        <v>1.5344695450707015</v>
      </c>
      <c r="R15" s="10">
        <f t="shared" ref="R15:R30" si="6">IF($C$31="","",($Q$35*P15+$Q$36))</f>
        <v>90.62190934800806</v>
      </c>
      <c r="S15" s="13">
        <f t="shared" ref="S15:S31" si="7">IF($C$31="","",((Q15-Q14)/(0.5*(Q15+Q14))))</f>
        <v>0.87425226665060785</v>
      </c>
      <c r="T15" s="13">
        <f t="shared" ref="T15:T31" si="8">IF($C$31="","",S15*1.1)</f>
        <v>0.96167749331566865</v>
      </c>
      <c r="U15" s="13">
        <f>IF($C$31="","",S15*0.9)</f>
        <v>0.78682703998554704</v>
      </c>
      <c r="V15" s="13">
        <f t="shared" si="0"/>
        <v>99.68410028280887</v>
      </c>
      <c r="W15" s="13">
        <f t="shared" si="1"/>
        <v>81.55971841320725</v>
      </c>
      <c r="X15" s="13">
        <f>S15/(R15-R14)</f>
        <v>2.2948435287918158E-2</v>
      </c>
      <c r="Y15" s="13">
        <f>T15/(R15-R14)</f>
        <v>2.5243278816709975E-2</v>
      </c>
      <c r="Z15" s="13">
        <f>U15/(R15-R14)</f>
        <v>2.0653591759126344E-2</v>
      </c>
      <c r="AA15" s="8">
        <f>(R14+R15)/2</f>
        <v>71.573720317209904</v>
      </c>
      <c r="AB15" s="23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</row>
    <row r="16" spans="1:256" ht="12">
      <c r="A16" s="62">
        <f t="shared" si="2"/>
        <v>3</v>
      </c>
      <c r="B16" s="62">
        <f>IF($A$13="TG18-QC",384,480)</f>
        <v>480</v>
      </c>
      <c r="C16" s="194">
        <f>unfors!E6</f>
        <v>3.05</v>
      </c>
      <c r="D16" s="133">
        <f t="shared" ref="D16:D31" si="9">IF(C16="","",C16+$D$10)</f>
        <v>3.05</v>
      </c>
      <c r="E16" s="66">
        <f t="shared" ref="E16:E31" si="10">R16</f>
        <v>128.71828740960436</v>
      </c>
      <c r="F16" s="66">
        <f t="shared" ref="F16:F31" si="11">IF($D$31="","",((D16-D15)/(0.5*(D16+D15))))</f>
        <v>0.67543859649122806</v>
      </c>
      <c r="G16" s="55">
        <f t="shared" ref="G16:G31" si="12">IF(C16="","",F16/(E16-E15))</f>
        <v>1.7729732611303419E-2</v>
      </c>
      <c r="H16" s="59">
        <f t="shared" ref="H16:H31" si="13">IF(C16="","",(E16+E15)/2)</f>
        <v>109.67009837880622</v>
      </c>
      <c r="I16" s="56">
        <f t="shared" si="3"/>
        <v>1.1584125647361407</v>
      </c>
      <c r="J16" s="15"/>
      <c r="K16" s="1"/>
      <c r="O16" s="8">
        <f t="shared" si="4"/>
        <v>3</v>
      </c>
      <c r="P16" s="8">
        <f t="shared" si="5"/>
        <v>480</v>
      </c>
      <c r="Q16" s="24">
        <f t="shared" ref="Q16:Q30" si="14">IF($C$31="","",(10^((-1.3011877+(0.080242636*LN(R16))+(0.13646699*(LN(R16))^2)+(-0.025468404*(LN(R16))^3)+(0.0013635334*(LN(R16))^4))/(1+(-0.025840191*LN(R16))+(-0.10320229*(LN(R16))^2)+(0.02874562*(LN(R16))^3)+(-0.0031978977*(LN(R16))^4)+(0.00012992634*(LN(R16))^5)))))</f>
        <v>3.0725227476355821</v>
      </c>
      <c r="R16" s="10">
        <f t="shared" si="6"/>
        <v>128.71828740960436</v>
      </c>
      <c r="S16" s="13">
        <f t="shared" si="7"/>
        <v>0.66770383141291623</v>
      </c>
      <c r="T16" s="13">
        <f t="shared" si="8"/>
        <v>0.73447421455420792</v>
      </c>
      <c r="U16" s="13">
        <f t="shared" ref="U16:U31" si="15">IF($C$31="","",S16*0.9)</f>
        <v>0.60093344827162465</v>
      </c>
      <c r="V16" s="13">
        <f t="shared" si="0"/>
        <v>141.5901161505648</v>
      </c>
      <c r="W16" s="13">
        <f t="shared" si="1"/>
        <v>115.84645866864392</v>
      </c>
      <c r="X16" s="13">
        <f t="shared" ref="X16:X31" si="16">S16/(R16-R15)</f>
        <v>1.7526701103536307E-2</v>
      </c>
      <c r="Y16" s="13">
        <f t="shared" ref="Y16:Y31" si="17">T16/(R16-R15)</f>
        <v>1.927937121388994E-2</v>
      </c>
      <c r="Z16" s="13">
        <f t="shared" ref="Z16:Z31" si="18">U16/(R16-R15)</f>
        <v>1.577403099318268E-2</v>
      </c>
      <c r="AA16" s="8">
        <f t="shared" ref="AA16:AA31" si="19">(R15+R16)/2</f>
        <v>109.67009837880622</v>
      </c>
      <c r="AB16" s="23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</row>
    <row r="17" spans="1:251" ht="12">
      <c r="A17" s="62">
        <f t="shared" si="2"/>
        <v>4</v>
      </c>
      <c r="B17" s="62">
        <f>IF($A$13="TG18-QC",640,720)</f>
        <v>720</v>
      </c>
      <c r="C17" s="194">
        <f>unfors!E7</f>
        <v>5.43</v>
      </c>
      <c r="D17" s="133">
        <f t="shared" si="9"/>
        <v>5.43</v>
      </c>
      <c r="E17" s="66">
        <f t="shared" si="10"/>
        <v>166.81466547120067</v>
      </c>
      <c r="F17" s="66">
        <f t="shared" si="11"/>
        <v>0.56132075471698106</v>
      </c>
      <c r="G17" s="55">
        <f t="shared" si="12"/>
        <v>1.4734228902532596E-2</v>
      </c>
      <c r="H17" s="59">
        <f t="shared" si="13"/>
        <v>147.76647644040253</v>
      </c>
      <c r="I17" s="56">
        <f t="shared" si="3"/>
        <v>2.4513019574821415</v>
      </c>
      <c r="J17" s="15"/>
      <c r="K17" s="1"/>
      <c r="O17" s="8">
        <f t="shared" si="4"/>
        <v>4</v>
      </c>
      <c r="P17" s="8">
        <f t="shared" si="5"/>
        <v>720</v>
      </c>
      <c r="Q17" s="24">
        <f t="shared" si="14"/>
        <v>5.391087863502066</v>
      </c>
      <c r="R17" s="10">
        <f t="shared" si="6"/>
        <v>166.81466547120067</v>
      </c>
      <c r="S17" s="13">
        <f t="shared" si="7"/>
        <v>0.54789030885125534</v>
      </c>
      <c r="T17" s="13">
        <f t="shared" si="8"/>
        <v>0.60267933973638088</v>
      </c>
      <c r="U17" s="13">
        <f t="shared" si="15"/>
        <v>0.49310127796612979</v>
      </c>
      <c r="V17" s="13">
        <f t="shared" si="0"/>
        <v>183.49613201832076</v>
      </c>
      <c r="W17" s="13">
        <f t="shared" si="1"/>
        <v>150.1331989240806</v>
      </c>
      <c r="X17" s="13">
        <f t="shared" si="16"/>
        <v>1.4381690247965206E-2</v>
      </c>
      <c r="Y17" s="13">
        <f t="shared" si="17"/>
        <v>1.5819859272761728E-2</v>
      </c>
      <c r="Z17" s="13">
        <f t="shared" si="18"/>
        <v>1.2943521223168686E-2</v>
      </c>
      <c r="AA17" s="8">
        <f t="shared" si="19"/>
        <v>147.76647644040253</v>
      </c>
      <c r="AB17" s="23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</row>
    <row r="18" spans="1:251" ht="12">
      <c r="A18" s="62">
        <f t="shared" si="2"/>
        <v>5</v>
      </c>
      <c r="B18" s="62">
        <f>IF($A$13="TG18-QC",896,960)</f>
        <v>960</v>
      </c>
      <c r="C18" s="194">
        <f>unfors!E8</f>
        <v>8.7200000000000006</v>
      </c>
      <c r="D18" s="133">
        <f t="shared" si="9"/>
        <v>8.7200000000000006</v>
      </c>
      <c r="E18" s="66">
        <f t="shared" si="10"/>
        <v>204.91104353279698</v>
      </c>
      <c r="F18" s="66">
        <f t="shared" si="11"/>
        <v>0.46501766784452309</v>
      </c>
      <c r="G18" s="55">
        <f t="shared" si="12"/>
        <v>1.2206348516718755E-2</v>
      </c>
      <c r="H18" s="59">
        <f t="shared" si="13"/>
        <v>185.86285450199881</v>
      </c>
      <c r="I18" s="56">
        <f t="shared" si="3"/>
        <v>1.2423190895961278</v>
      </c>
      <c r="J18" s="15"/>
      <c r="K18" s="1"/>
      <c r="O18" s="8">
        <f t="shared" si="4"/>
        <v>5</v>
      </c>
      <c r="P18" s="8">
        <f t="shared" si="5"/>
        <v>960</v>
      </c>
      <c r="Q18" s="24">
        <f t="shared" si="14"/>
        <v>8.7112539781185845</v>
      </c>
      <c r="R18" s="10">
        <f t="shared" si="6"/>
        <v>204.91104353279698</v>
      </c>
      <c r="S18" s="13">
        <f t="shared" si="7"/>
        <v>0.47086734272993103</v>
      </c>
      <c r="T18" s="13">
        <f t="shared" si="8"/>
        <v>0.51795407700292417</v>
      </c>
      <c r="U18" s="13">
        <f t="shared" si="15"/>
        <v>0.42378060845693794</v>
      </c>
      <c r="V18" s="13">
        <f t="shared" si="0"/>
        <v>225.4021478860767</v>
      </c>
      <c r="W18" s="13">
        <f t="shared" si="1"/>
        <v>184.41993917951729</v>
      </c>
      <c r="X18" s="13">
        <f t="shared" si="16"/>
        <v>1.2359897887631388E-2</v>
      </c>
      <c r="Y18" s="13">
        <f t="shared" si="17"/>
        <v>1.3595887676394528E-2</v>
      </c>
      <c r="Z18" s="13">
        <f t="shared" si="18"/>
        <v>1.112390809886825E-2</v>
      </c>
      <c r="AA18" s="8">
        <f t="shared" si="19"/>
        <v>185.86285450199881</v>
      </c>
      <c r="AB18" s="23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</row>
    <row r="19" spans="1:251" ht="12">
      <c r="A19" s="62">
        <f t="shared" si="2"/>
        <v>6</v>
      </c>
      <c r="B19" s="62">
        <f>IF($A$13="TG18-QC",1152,1200)</f>
        <v>1200</v>
      </c>
      <c r="C19" s="194">
        <f>unfors!E9</f>
        <v>13.2</v>
      </c>
      <c r="D19" s="133">
        <f t="shared" si="9"/>
        <v>13.2</v>
      </c>
      <c r="E19" s="66">
        <f t="shared" si="10"/>
        <v>243.00742159439329</v>
      </c>
      <c r="F19" s="66">
        <f t="shared" si="11"/>
        <v>0.40875912408759107</v>
      </c>
      <c r="G19" s="55">
        <f t="shared" si="12"/>
        <v>1.0729605933316993E-2</v>
      </c>
      <c r="H19" s="59">
        <f t="shared" si="13"/>
        <v>223.95923256359515</v>
      </c>
      <c r="I19" s="56">
        <f t="shared" si="3"/>
        <v>2.2000259876771091</v>
      </c>
      <c r="J19" s="15"/>
      <c r="K19" s="1"/>
      <c r="O19" s="8">
        <f t="shared" si="4"/>
        <v>6</v>
      </c>
      <c r="P19" s="8">
        <f t="shared" si="5"/>
        <v>1200</v>
      </c>
      <c r="Q19" s="24">
        <f t="shared" si="14"/>
        <v>13.314035351583072</v>
      </c>
      <c r="R19" s="10">
        <f t="shared" si="6"/>
        <v>243.00742159439329</v>
      </c>
      <c r="S19" s="13">
        <f t="shared" si="7"/>
        <v>0.41795422566890156</v>
      </c>
      <c r="T19" s="13">
        <f t="shared" si="8"/>
        <v>0.45974964823579173</v>
      </c>
      <c r="U19" s="13">
        <f t="shared" si="15"/>
        <v>0.37615880310201139</v>
      </c>
      <c r="V19" s="13">
        <f t="shared" si="0"/>
        <v>267.30816375383262</v>
      </c>
      <c r="W19" s="13">
        <f t="shared" si="1"/>
        <v>218.70667943495397</v>
      </c>
      <c r="X19" s="13">
        <f t="shared" si="16"/>
        <v>1.0970970127216038E-2</v>
      </c>
      <c r="Y19" s="13">
        <f t="shared" si="17"/>
        <v>1.2068067139937641E-2</v>
      </c>
      <c r="Z19" s="13">
        <f t="shared" si="18"/>
        <v>9.8738731144944331E-3</v>
      </c>
      <c r="AA19" s="8">
        <f t="shared" si="19"/>
        <v>223.95923256359515</v>
      </c>
      <c r="AB19" s="23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</row>
    <row r="20" spans="1:251" ht="12">
      <c r="A20" s="62">
        <f t="shared" si="2"/>
        <v>7</v>
      </c>
      <c r="B20" s="62">
        <f>IF($A$13="TG18-QC",1408,1440)</f>
        <v>1440</v>
      </c>
      <c r="C20" s="194">
        <f>unfors!E10</f>
        <v>19.5</v>
      </c>
      <c r="D20" s="133">
        <f t="shared" si="9"/>
        <v>19.5</v>
      </c>
      <c r="E20" s="66">
        <f t="shared" si="10"/>
        <v>281.10379965598958</v>
      </c>
      <c r="F20" s="66">
        <f t="shared" si="11"/>
        <v>0.38532110091743121</v>
      </c>
      <c r="G20" s="55">
        <f t="shared" si="12"/>
        <v>1.0114376235305709E-2</v>
      </c>
      <c r="H20" s="59">
        <f t="shared" si="13"/>
        <v>262.05561062519143</v>
      </c>
      <c r="I20" s="56">
        <f t="shared" si="3"/>
        <v>1.4372597318416982</v>
      </c>
      <c r="J20" s="15"/>
      <c r="K20" s="1"/>
      <c r="O20" s="8">
        <f t="shared" si="4"/>
        <v>7</v>
      </c>
      <c r="P20" s="8">
        <f t="shared" si="5"/>
        <v>1440</v>
      </c>
      <c r="Q20" s="24">
        <f t="shared" si="14"/>
        <v>19.557315803575168</v>
      </c>
      <c r="R20" s="10">
        <f t="shared" si="6"/>
        <v>281.10379965598958</v>
      </c>
      <c r="S20" s="13">
        <f t="shared" si="7"/>
        <v>0.37986150447681782</v>
      </c>
      <c r="T20" s="13">
        <f t="shared" si="8"/>
        <v>0.41784765492449966</v>
      </c>
      <c r="U20" s="13">
        <f t="shared" si="15"/>
        <v>0.34187535402913605</v>
      </c>
      <c r="V20" s="13">
        <f t="shared" si="0"/>
        <v>309.21417962158858</v>
      </c>
      <c r="W20" s="13">
        <f t="shared" si="1"/>
        <v>252.99341969039062</v>
      </c>
      <c r="X20" s="13">
        <f t="shared" si="16"/>
        <v>9.9710661171683364E-3</v>
      </c>
      <c r="Y20" s="13">
        <f t="shared" si="17"/>
        <v>1.0968172728885171E-2</v>
      </c>
      <c r="Z20" s="13">
        <f t="shared" si="18"/>
        <v>8.9739595054515019E-3</v>
      </c>
      <c r="AA20" s="8">
        <f t="shared" si="19"/>
        <v>262.05561062519143</v>
      </c>
      <c r="AB20" s="23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</row>
    <row r="21" spans="1:251" ht="12">
      <c r="A21" s="62">
        <f t="shared" si="2"/>
        <v>8</v>
      </c>
      <c r="B21" s="62">
        <f>IF($A$13="TG18-QC",1664,1680)</f>
        <v>1680</v>
      </c>
      <c r="C21" s="194">
        <f>unfors!E11</f>
        <v>27.9</v>
      </c>
      <c r="D21" s="133">
        <f t="shared" si="9"/>
        <v>27.9</v>
      </c>
      <c r="E21" s="66">
        <f t="shared" si="10"/>
        <v>319.20017771758586</v>
      </c>
      <c r="F21" s="66">
        <f t="shared" si="11"/>
        <v>0.35443037974683539</v>
      </c>
      <c r="G21" s="55">
        <f t="shared" si="12"/>
        <v>9.3035190687622109E-3</v>
      </c>
      <c r="H21" s="59">
        <f t="shared" si="13"/>
        <v>300.15198868678772</v>
      </c>
      <c r="I21" s="56">
        <f t="shared" si="3"/>
        <v>0.8396002146247632</v>
      </c>
      <c r="J21" s="15"/>
      <c r="K21" s="1"/>
      <c r="O21" s="8">
        <f t="shared" si="4"/>
        <v>8</v>
      </c>
      <c r="P21" s="8">
        <f t="shared" si="5"/>
        <v>1680</v>
      </c>
      <c r="Q21" s="24">
        <f t="shared" si="14"/>
        <v>27.896905414812057</v>
      </c>
      <c r="R21" s="10">
        <f t="shared" si="6"/>
        <v>319.20017771758586</v>
      </c>
      <c r="S21" s="13">
        <f t="shared" si="7"/>
        <v>0.35147935830018529</v>
      </c>
      <c r="T21" s="13">
        <f t="shared" si="8"/>
        <v>0.38662729413020386</v>
      </c>
      <c r="U21" s="13">
        <f t="shared" si="15"/>
        <v>0.31633142247016677</v>
      </c>
      <c r="V21" s="13">
        <f t="shared" si="0"/>
        <v>351.1201954893445</v>
      </c>
      <c r="W21" s="13">
        <f t="shared" si="1"/>
        <v>287.28015994582728</v>
      </c>
      <c r="X21" s="13">
        <f t="shared" si="16"/>
        <v>9.2260570737694395E-3</v>
      </c>
      <c r="Y21" s="13">
        <f t="shared" si="17"/>
        <v>1.0148662781146385E-2</v>
      </c>
      <c r="Z21" s="13">
        <f t="shared" si="18"/>
        <v>8.3034513663924961E-3</v>
      </c>
      <c r="AA21" s="8">
        <f t="shared" si="19"/>
        <v>300.15198868678772</v>
      </c>
      <c r="AB21" s="23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</row>
    <row r="22" spans="1:251" ht="12">
      <c r="A22" s="62">
        <f t="shared" si="2"/>
        <v>9</v>
      </c>
      <c r="B22" s="62">
        <f>IF($A$13="TG18-QC",1920,1920)</f>
        <v>1920</v>
      </c>
      <c r="C22" s="194">
        <f>unfors!E12</f>
        <v>38.9</v>
      </c>
      <c r="D22" s="133">
        <f t="shared" si="9"/>
        <v>38.9</v>
      </c>
      <c r="E22" s="66">
        <f t="shared" si="10"/>
        <v>357.2965557791822</v>
      </c>
      <c r="F22" s="66">
        <f t="shared" si="11"/>
        <v>0.32934131736526945</v>
      </c>
      <c r="G22" s="55">
        <f t="shared" si="12"/>
        <v>8.6449508883173123E-3</v>
      </c>
      <c r="H22" s="59">
        <f t="shared" si="13"/>
        <v>338.248366748384</v>
      </c>
      <c r="I22" s="56">
        <f t="shared" si="3"/>
        <v>0.13235581508651872</v>
      </c>
      <c r="J22" s="15"/>
      <c r="K22" s="1"/>
      <c r="O22" s="8">
        <f t="shared" si="4"/>
        <v>9</v>
      </c>
      <c r="P22" s="8">
        <f t="shared" si="5"/>
        <v>1920</v>
      </c>
      <c r="Q22" s="24">
        <f t="shared" si="14"/>
        <v>38.913140272135962</v>
      </c>
      <c r="R22" s="10">
        <f t="shared" si="6"/>
        <v>357.2965557791822</v>
      </c>
      <c r="S22" s="13">
        <f t="shared" si="7"/>
        <v>0.32977779745706814</v>
      </c>
      <c r="T22" s="13">
        <f t="shared" si="8"/>
        <v>0.36275557720277501</v>
      </c>
      <c r="U22" s="13">
        <f t="shared" si="15"/>
        <v>0.29680001771136133</v>
      </c>
      <c r="V22" s="13">
        <f t="shared" si="0"/>
        <v>393.02621135710046</v>
      </c>
      <c r="W22" s="13">
        <f t="shared" si="1"/>
        <v>321.56690020126399</v>
      </c>
      <c r="X22" s="13">
        <f t="shared" si="16"/>
        <v>8.6564081478786529E-3</v>
      </c>
      <c r="Y22" s="13">
        <f t="shared" si="17"/>
        <v>9.5220489626665211E-3</v>
      </c>
      <c r="Z22" s="13">
        <f t="shared" si="18"/>
        <v>7.7907673330907881E-3</v>
      </c>
      <c r="AA22" s="8">
        <f t="shared" si="19"/>
        <v>338.248366748384</v>
      </c>
      <c r="AB22" s="23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</row>
    <row r="23" spans="1:251" ht="12">
      <c r="A23" s="62">
        <f t="shared" si="2"/>
        <v>10</v>
      </c>
      <c r="B23" s="62">
        <f>IF($A$13="TG18-QC",2176,2160)</f>
        <v>2160</v>
      </c>
      <c r="C23" s="194">
        <f>unfors!E13</f>
        <v>53.5</v>
      </c>
      <c r="D23" s="133">
        <f t="shared" si="9"/>
        <v>53.5</v>
      </c>
      <c r="E23" s="66">
        <f t="shared" si="10"/>
        <v>395.39293384077848</v>
      </c>
      <c r="F23" s="66">
        <f t="shared" si="11"/>
        <v>0.31601731601731603</v>
      </c>
      <c r="G23" s="55">
        <f t="shared" si="12"/>
        <v>8.2952063187309334E-3</v>
      </c>
      <c r="H23" s="59">
        <f t="shared" si="13"/>
        <v>376.34474480998034</v>
      </c>
      <c r="I23" s="56">
        <f t="shared" si="3"/>
        <v>1.0115501163737606</v>
      </c>
      <c r="J23" s="15"/>
      <c r="K23" s="1"/>
      <c r="O23" s="8">
        <f t="shared" si="4"/>
        <v>10</v>
      </c>
      <c r="P23" s="8">
        <f t="shared" si="5"/>
        <v>2160</v>
      </c>
      <c r="Q23" s="24">
        <f t="shared" si="14"/>
        <v>53.34469453717746</v>
      </c>
      <c r="R23" s="10">
        <f t="shared" si="6"/>
        <v>395.39293384077848</v>
      </c>
      <c r="S23" s="13">
        <f t="shared" si="7"/>
        <v>0.31285265462537465</v>
      </c>
      <c r="T23" s="13">
        <f t="shared" si="8"/>
        <v>0.34413792008791216</v>
      </c>
      <c r="U23" s="13">
        <f t="shared" si="15"/>
        <v>0.28156738916283719</v>
      </c>
      <c r="V23" s="13">
        <f t="shared" si="0"/>
        <v>434.93222722485638</v>
      </c>
      <c r="W23" s="13">
        <f t="shared" si="1"/>
        <v>355.85364045670065</v>
      </c>
      <c r="X23" s="13">
        <f t="shared" si="16"/>
        <v>8.2121364429851452E-3</v>
      </c>
      <c r="Y23" s="13">
        <f t="shared" si="17"/>
        <v>9.033350087283662E-3</v>
      </c>
      <c r="Z23" s="13">
        <f t="shared" si="18"/>
        <v>7.3909227986866319E-3</v>
      </c>
      <c r="AA23" s="8">
        <f t="shared" si="19"/>
        <v>376.34474480998034</v>
      </c>
      <c r="AB23" s="23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</row>
    <row r="24" spans="1:251" ht="12">
      <c r="A24" s="62">
        <f t="shared" si="2"/>
        <v>11</v>
      </c>
      <c r="B24" s="62">
        <f>IF($A$13="TG18-QC",2432,2400)</f>
        <v>2400</v>
      </c>
      <c r="C24" s="194">
        <f>unfors!E14</f>
        <v>72.3</v>
      </c>
      <c r="D24" s="133">
        <f t="shared" si="9"/>
        <v>72.3</v>
      </c>
      <c r="E24" s="66">
        <f t="shared" si="10"/>
        <v>433.48931190237482</v>
      </c>
      <c r="F24" s="66">
        <f t="shared" si="11"/>
        <v>0.29888712241653415</v>
      </c>
      <c r="G24" s="55">
        <f t="shared" si="12"/>
        <v>7.8455521922130463E-3</v>
      </c>
      <c r="H24" s="59">
        <f t="shared" si="13"/>
        <v>414.44112287157668</v>
      </c>
      <c r="I24" s="56">
        <f t="shared" si="3"/>
        <v>0.18815972300582279</v>
      </c>
      <c r="J24" s="15"/>
      <c r="K24" s="1"/>
      <c r="O24" s="8">
        <f t="shared" si="4"/>
        <v>11</v>
      </c>
      <c r="P24" s="8">
        <f t="shared" si="5"/>
        <v>2400</v>
      </c>
      <c r="Q24" s="24">
        <f t="shared" si="14"/>
        <v>72.131680395114316</v>
      </c>
      <c r="R24" s="10">
        <f t="shared" si="6"/>
        <v>433.48931190237482</v>
      </c>
      <c r="S24" s="13">
        <f t="shared" si="7"/>
        <v>0.29945056777539975</v>
      </c>
      <c r="T24" s="13">
        <f t="shared" si="8"/>
        <v>0.32939562455293975</v>
      </c>
      <c r="U24" s="13">
        <f t="shared" si="15"/>
        <v>0.2695055109978598</v>
      </c>
      <c r="V24" s="13">
        <f t="shared" si="0"/>
        <v>476.83824309261234</v>
      </c>
      <c r="W24" s="13">
        <f t="shared" si="1"/>
        <v>390.14038071213736</v>
      </c>
      <c r="X24" s="13">
        <f t="shared" si="16"/>
        <v>7.8603421903056352E-3</v>
      </c>
      <c r="Y24" s="13">
        <f t="shared" si="17"/>
        <v>8.6463764093361994E-3</v>
      </c>
      <c r="Z24" s="13">
        <f t="shared" si="18"/>
        <v>7.0743079712750727E-3</v>
      </c>
      <c r="AA24" s="8">
        <f t="shared" si="19"/>
        <v>414.44112287157668</v>
      </c>
      <c r="AB24" s="23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</row>
    <row r="25" spans="1:251" ht="12">
      <c r="A25" s="62">
        <f t="shared" si="2"/>
        <v>12</v>
      </c>
      <c r="B25" s="62">
        <f>IF($A$13="TG18-QC",2688,2640)</f>
        <v>2640</v>
      </c>
      <c r="C25" s="194">
        <f>unfors!E15</f>
        <v>97</v>
      </c>
      <c r="D25" s="133">
        <f t="shared" si="9"/>
        <v>97</v>
      </c>
      <c r="E25" s="66">
        <f t="shared" si="10"/>
        <v>471.58568996397111</v>
      </c>
      <c r="F25" s="66">
        <f t="shared" si="11"/>
        <v>0.29178972238629652</v>
      </c>
      <c r="G25" s="55">
        <f t="shared" si="12"/>
        <v>7.6592510163174862E-3</v>
      </c>
      <c r="H25" s="59">
        <f t="shared" si="13"/>
        <v>452.53750093317296</v>
      </c>
      <c r="I25" s="56">
        <f t="shared" si="3"/>
        <v>1.0650501528628695</v>
      </c>
      <c r="J25" s="15"/>
      <c r="K25" s="1"/>
      <c r="O25" s="8">
        <f t="shared" si="4"/>
        <v>12</v>
      </c>
      <c r="P25" s="8">
        <f t="shared" si="5"/>
        <v>2640</v>
      </c>
      <c r="Q25" s="24">
        <f t="shared" si="14"/>
        <v>96.470675153890582</v>
      </c>
      <c r="R25" s="10">
        <f t="shared" si="6"/>
        <v>471.58568996397111</v>
      </c>
      <c r="S25" s="13">
        <f t="shared" si="7"/>
        <v>0.2887147653367399</v>
      </c>
      <c r="T25" s="13">
        <f t="shared" si="8"/>
        <v>0.3175862418704139</v>
      </c>
      <c r="U25" s="13">
        <f t="shared" si="15"/>
        <v>0.2598432888030659</v>
      </c>
      <c r="V25" s="13">
        <f t="shared" si="0"/>
        <v>518.74425896036826</v>
      </c>
      <c r="W25" s="13">
        <f t="shared" si="1"/>
        <v>424.42712096757401</v>
      </c>
      <c r="X25" s="13">
        <f t="shared" si="16"/>
        <v>7.5785358090979214E-3</v>
      </c>
      <c r="Y25" s="13">
        <f t="shared" si="17"/>
        <v>8.3363893900077132E-3</v>
      </c>
      <c r="Z25" s="13">
        <f t="shared" si="18"/>
        <v>6.8206822281881288E-3</v>
      </c>
      <c r="AA25" s="8">
        <f t="shared" si="19"/>
        <v>452.53750093317296</v>
      </c>
      <c r="AB25" s="23"/>
      <c r="AC25" s="8"/>
      <c r="AD25" s="8"/>
      <c r="AE25" s="8"/>
      <c r="AF25" s="8"/>
      <c r="AG25" s="8"/>
      <c r="AH25" s="8"/>
      <c r="AI25" s="8"/>
      <c r="AJ25" s="8"/>
      <c r="AK25" s="8"/>
      <c r="AL25" s="8"/>
      <c r="AM25" s="8"/>
      <c r="AN25" s="8"/>
      <c r="AO25" s="8"/>
      <c r="AP25" s="8"/>
      <c r="AQ25" s="8"/>
      <c r="AR25" s="8"/>
      <c r="AS25" s="8"/>
      <c r="AT25" s="8"/>
      <c r="AU25" s="8"/>
      <c r="AV25" s="8"/>
      <c r="AW25" s="8"/>
      <c r="AX25" s="8"/>
      <c r="AY25" s="8"/>
      <c r="AZ25" s="8"/>
      <c r="BA25" s="8"/>
      <c r="BB25" s="8"/>
      <c r="BC25" s="8"/>
      <c r="BD25" s="8"/>
      <c r="BE25" s="8"/>
      <c r="BF25" s="8"/>
      <c r="BG25" s="8"/>
      <c r="BH25" s="8"/>
      <c r="BI25" s="8"/>
      <c r="BJ25" s="8"/>
      <c r="BK25" s="8"/>
      <c r="BL25" s="8"/>
      <c r="BM25" s="8"/>
      <c r="BN25" s="8"/>
      <c r="BO25" s="8"/>
      <c r="BP25" s="8"/>
      <c r="BQ25" s="8"/>
      <c r="BR25" s="8"/>
      <c r="BS25" s="8"/>
      <c r="BT25" s="8"/>
      <c r="BU25" s="8"/>
      <c r="BV25" s="8"/>
      <c r="BW25" s="8"/>
      <c r="BX25" s="8"/>
      <c r="BY25" s="8"/>
      <c r="BZ25" s="8"/>
      <c r="CA25" s="8"/>
      <c r="CB25" s="8"/>
      <c r="CC25" s="8"/>
      <c r="CD25" s="8"/>
      <c r="CE25" s="8"/>
      <c r="CF25" s="8"/>
      <c r="CG25" s="8"/>
      <c r="CH25" s="8"/>
      <c r="CI25" s="8"/>
      <c r="CJ25" s="8"/>
      <c r="CK25" s="8"/>
      <c r="CL25" s="8"/>
      <c r="CM25" s="8"/>
      <c r="CN25" s="8"/>
      <c r="CO25" s="8"/>
      <c r="CP25" s="8"/>
      <c r="CQ25" s="8"/>
      <c r="CR25" s="8"/>
      <c r="CS25" s="8"/>
      <c r="CT25" s="8"/>
      <c r="CU25" s="8"/>
      <c r="CV25" s="8"/>
      <c r="CW25" s="8"/>
      <c r="CX25" s="8"/>
      <c r="CY25" s="8"/>
      <c r="CZ25" s="8"/>
      <c r="DA25" s="8"/>
      <c r="DB25" s="8"/>
      <c r="DC25" s="8"/>
      <c r="DD25" s="8"/>
      <c r="DE25" s="8"/>
      <c r="DF25" s="8"/>
      <c r="DG25" s="8"/>
      <c r="DH25" s="8"/>
      <c r="DI25" s="8"/>
      <c r="DJ25" s="8"/>
      <c r="DK25" s="8"/>
      <c r="DL25" s="8"/>
      <c r="DM25" s="8"/>
      <c r="DN25" s="8"/>
      <c r="DO25" s="8"/>
      <c r="DP25" s="8"/>
      <c r="DQ25" s="8"/>
      <c r="DR25" s="8"/>
      <c r="DS25" s="8"/>
      <c r="DT25" s="8"/>
      <c r="DU25" s="8"/>
      <c r="DV25" s="8"/>
      <c r="DW25" s="8"/>
      <c r="DX25" s="8"/>
      <c r="DY25" s="8"/>
      <c r="DZ25" s="8"/>
      <c r="EA25" s="8"/>
      <c r="EB25" s="8"/>
      <c r="EC25" s="8"/>
      <c r="ED25" s="8"/>
      <c r="EE25" s="8"/>
      <c r="EF25" s="8"/>
      <c r="EG25" s="8"/>
      <c r="EH25" s="8"/>
      <c r="EI25" s="8"/>
      <c r="EJ25" s="8"/>
      <c r="EK25" s="8"/>
      <c r="EL25" s="8"/>
      <c r="EM25" s="8"/>
      <c r="EN25" s="8"/>
      <c r="EO25" s="8"/>
      <c r="EP25" s="8"/>
      <c r="EQ25" s="8"/>
      <c r="ER25" s="8"/>
      <c r="ES25" s="8"/>
      <c r="ET25" s="8"/>
      <c r="EU25" s="8"/>
      <c r="EV25" s="8"/>
      <c r="EW25" s="8"/>
      <c r="EX25" s="8"/>
      <c r="EY25" s="8"/>
      <c r="EZ25" s="8"/>
      <c r="FA25" s="8"/>
      <c r="FB25" s="8"/>
      <c r="FC25" s="8"/>
      <c r="FD25" s="8"/>
      <c r="FE25" s="8"/>
      <c r="FF25" s="8"/>
      <c r="FG25" s="8"/>
      <c r="FH25" s="8"/>
      <c r="FI25" s="8"/>
      <c r="FJ25" s="8"/>
      <c r="FK25" s="8"/>
      <c r="FL25" s="8"/>
      <c r="FM25" s="8"/>
      <c r="FN25" s="8"/>
      <c r="FO25" s="8"/>
      <c r="FP25" s="8"/>
      <c r="FQ25" s="8"/>
      <c r="FR25" s="8"/>
      <c r="FS25" s="8"/>
      <c r="FT25" s="8"/>
      <c r="FU25" s="8"/>
      <c r="FV25" s="8"/>
      <c r="FW25" s="8"/>
      <c r="FX25" s="8"/>
      <c r="FY25" s="8"/>
      <c r="FZ25" s="8"/>
      <c r="GA25" s="8"/>
      <c r="GB25" s="8"/>
      <c r="GC25" s="8"/>
      <c r="GD25" s="8"/>
      <c r="GE25" s="8"/>
      <c r="GF25" s="8"/>
      <c r="GG25" s="8"/>
      <c r="GH25" s="8"/>
      <c r="GI25" s="8"/>
      <c r="GJ25" s="8"/>
      <c r="GK25" s="8"/>
      <c r="GL25" s="8"/>
      <c r="GM25" s="8"/>
      <c r="GN25" s="8"/>
      <c r="GO25" s="8"/>
      <c r="GP25" s="8"/>
      <c r="GQ25" s="8"/>
      <c r="GR25" s="8"/>
      <c r="GS25" s="8"/>
      <c r="GT25" s="8"/>
      <c r="GU25" s="8"/>
      <c r="GV25" s="8"/>
      <c r="GW25" s="8"/>
      <c r="GX25" s="8"/>
      <c r="GY25" s="8"/>
      <c r="GZ25" s="8"/>
      <c r="HA25" s="8"/>
      <c r="HB25" s="8"/>
      <c r="HC25" s="8"/>
      <c r="HD25" s="8"/>
      <c r="HE25" s="8"/>
      <c r="HF25" s="8"/>
      <c r="HG25" s="8"/>
      <c r="HH25" s="8"/>
      <c r="HI25" s="8"/>
      <c r="HJ25" s="8"/>
      <c r="HK25" s="8"/>
      <c r="HL25" s="8"/>
      <c r="HM25" s="8"/>
      <c r="HN25" s="8"/>
      <c r="HO25" s="8"/>
      <c r="HP25" s="8"/>
      <c r="HQ25" s="8"/>
      <c r="HR25" s="8"/>
      <c r="HS25" s="8"/>
      <c r="HT25" s="8"/>
      <c r="HU25" s="8"/>
      <c r="HV25" s="8"/>
      <c r="HW25" s="8"/>
      <c r="HX25" s="8"/>
      <c r="HY25" s="8"/>
      <c r="HZ25" s="8"/>
      <c r="IA25" s="8"/>
      <c r="IB25" s="8"/>
      <c r="IC25" s="8"/>
      <c r="ID25" s="8"/>
      <c r="IE25" s="8"/>
      <c r="IF25" s="8"/>
      <c r="IG25" s="8"/>
      <c r="IH25" s="8"/>
      <c r="II25" s="8"/>
      <c r="IJ25" s="8"/>
      <c r="IK25" s="8"/>
      <c r="IL25" s="8"/>
      <c r="IM25" s="8"/>
      <c r="IN25" s="8"/>
      <c r="IO25" s="8"/>
      <c r="IP25" s="8"/>
      <c r="IQ25" s="8"/>
    </row>
    <row r="26" spans="1:251" ht="12">
      <c r="A26" s="62">
        <f t="shared" si="2"/>
        <v>13</v>
      </c>
      <c r="B26" s="62">
        <f>IF($A$13="TG18-QC",2944,2880)</f>
        <v>2880</v>
      </c>
      <c r="C26" s="194">
        <f>unfors!E16</f>
        <v>129</v>
      </c>
      <c r="D26" s="133">
        <f t="shared" si="9"/>
        <v>129</v>
      </c>
      <c r="E26" s="66">
        <f t="shared" si="10"/>
        <v>509.68206802556739</v>
      </c>
      <c r="F26" s="66">
        <f t="shared" si="11"/>
        <v>0.2831858407079646</v>
      </c>
      <c r="G26" s="55">
        <f t="shared" si="12"/>
        <v>7.4334058804775205E-3</v>
      </c>
      <c r="H26" s="59">
        <f t="shared" si="13"/>
        <v>490.63387899476925</v>
      </c>
      <c r="I26" s="56">
        <f t="shared" si="3"/>
        <v>1.1230483948967034</v>
      </c>
      <c r="J26" s="15"/>
      <c r="K26" s="1"/>
      <c r="O26" s="8">
        <f t="shared" si="4"/>
        <v>13</v>
      </c>
      <c r="P26" s="8">
        <f t="shared" si="5"/>
        <v>2880</v>
      </c>
      <c r="Q26" s="24">
        <f t="shared" si="14"/>
        <v>127.88506016985657</v>
      </c>
      <c r="R26" s="10">
        <f t="shared" si="6"/>
        <v>509.68206802556739</v>
      </c>
      <c r="S26" s="13">
        <f t="shared" si="7"/>
        <v>0.28004084647655453</v>
      </c>
      <c r="T26" s="13">
        <f t="shared" si="8"/>
        <v>0.30804493112421</v>
      </c>
      <c r="U26" s="13">
        <f t="shared" si="15"/>
        <v>0.25203676182889906</v>
      </c>
      <c r="V26" s="13">
        <f t="shared" si="0"/>
        <v>560.65027482812422</v>
      </c>
      <c r="W26" s="13">
        <f t="shared" si="1"/>
        <v>458.71386122301067</v>
      </c>
      <c r="X26" s="13">
        <f t="shared" si="16"/>
        <v>7.3508522522474275E-3</v>
      </c>
      <c r="Y26" s="13">
        <f t="shared" si="17"/>
        <v>8.0859374774721708E-3</v>
      </c>
      <c r="Z26" s="13">
        <f t="shared" si="18"/>
        <v>6.6157670270226843E-3</v>
      </c>
      <c r="AA26" s="8">
        <f t="shared" si="19"/>
        <v>490.63387899476925</v>
      </c>
      <c r="AB26" s="23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</row>
    <row r="27" spans="1:251" ht="12">
      <c r="A27" s="62">
        <f>A26+1</f>
        <v>14</v>
      </c>
      <c r="B27" s="62">
        <f>IF($A$13="TG18-QC",3200,3120)</f>
        <v>3120</v>
      </c>
      <c r="C27" s="194">
        <f>unfors!E17</f>
        <v>170</v>
      </c>
      <c r="D27" s="133">
        <f t="shared" si="9"/>
        <v>170</v>
      </c>
      <c r="E27" s="66">
        <f t="shared" si="10"/>
        <v>547.77844608716373</v>
      </c>
      <c r="F27" s="66">
        <f t="shared" si="11"/>
        <v>0.27424749163879597</v>
      </c>
      <c r="G27" s="55">
        <f t="shared" si="12"/>
        <v>7.1987812383470517E-3</v>
      </c>
      <c r="H27" s="59">
        <f t="shared" si="13"/>
        <v>528.73025705636553</v>
      </c>
      <c r="I27" s="56">
        <f t="shared" si="3"/>
        <v>0.46029562405036734</v>
      </c>
      <c r="J27" s="15"/>
      <c r="K27" s="1"/>
      <c r="O27" s="8">
        <f t="shared" si="4"/>
        <v>14</v>
      </c>
      <c r="P27" s="8">
        <f t="shared" si="5"/>
        <v>3120</v>
      </c>
      <c r="Q27" s="24">
        <f t="shared" si="14"/>
        <v>168.31502845997198</v>
      </c>
      <c r="R27" s="10">
        <f t="shared" si="6"/>
        <v>547.77844608716373</v>
      </c>
      <c r="S27" s="13">
        <f t="shared" si="7"/>
        <v>0.2729909263507489</v>
      </c>
      <c r="T27" s="13">
        <f t="shared" si="8"/>
        <v>0.3002900189858238</v>
      </c>
      <c r="U27" s="13">
        <f t="shared" si="15"/>
        <v>0.24569183371567402</v>
      </c>
      <c r="V27" s="13">
        <f t="shared" si="0"/>
        <v>602.55629069588019</v>
      </c>
      <c r="W27" s="13">
        <f t="shared" si="1"/>
        <v>493.00060147844738</v>
      </c>
      <c r="X27" s="13">
        <f t="shared" si="16"/>
        <v>7.1657973865484536E-3</v>
      </c>
      <c r="Y27" s="13">
        <f t="shared" si="17"/>
        <v>7.8823771252032986E-3</v>
      </c>
      <c r="Z27" s="13">
        <f t="shared" si="18"/>
        <v>6.4492176478936087E-3</v>
      </c>
      <c r="AA27" s="8">
        <f t="shared" si="19"/>
        <v>528.73025705636553</v>
      </c>
      <c r="AB27" s="23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</row>
    <row r="28" spans="1:251" ht="12">
      <c r="A28" s="62">
        <f t="shared" si="2"/>
        <v>15</v>
      </c>
      <c r="B28" s="62">
        <f>IF($A$13="TG18-QC",3456,3360)</f>
        <v>3360</v>
      </c>
      <c r="C28" s="194">
        <f>unfors!E18</f>
        <v>223</v>
      </c>
      <c r="D28" s="133">
        <f t="shared" si="9"/>
        <v>223</v>
      </c>
      <c r="E28" s="66">
        <f t="shared" si="10"/>
        <v>585.8748241487599</v>
      </c>
      <c r="F28" s="66">
        <f t="shared" si="11"/>
        <v>0.26972010178117051</v>
      </c>
      <c r="G28" s="55">
        <f t="shared" si="12"/>
        <v>7.079940810779263E-3</v>
      </c>
      <c r="H28" s="59">
        <f t="shared" si="13"/>
        <v>566.82663511796181</v>
      </c>
      <c r="I28" s="56">
        <f t="shared" si="3"/>
        <v>0.9278857651160809</v>
      </c>
      <c r="J28" s="15"/>
      <c r="K28" s="1"/>
      <c r="O28" s="8">
        <f t="shared" si="4"/>
        <v>15</v>
      </c>
      <c r="P28" s="8">
        <f t="shared" si="5"/>
        <v>3360</v>
      </c>
      <c r="Q28" s="24">
        <f t="shared" si="14"/>
        <v>220.23288093127027</v>
      </c>
      <c r="R28" s="10">
        <f t="shared" si="6"/>
        <v>585.8748241487599</v>
      </c>
      <c r="S28" s="13">
        <f t="shared" si="7"/>
        <v>0.2672404160024468</v>
      </c>
      <c r="T28" s="13">
        <f t="shared" si="8"/>
        <v>0.29396445760269152</v>
      </c>
      <c r="U28" s="13">
        <f t="shared" si="15"/>
        <v>0.24051637440220214</v>
      </c>
      <c r="V28" s="13">
        <f t="shared" si="0"/>
        <v>644.46230656363593</v>
      </c>
      <c r="W28" s="13">
        <f t="shared" si="1"/>
        <v>527.28734173388398</v>
      </c>
      <c r="X28" s="13">
        <f t="shared" si="16"/>
        <v>7.0148510068426678E-3</v>
      </c>
      <c r="Y28" s="13">
        <f t="shared" si="17"/>
        <v>7.7163361075269351E-3</v>
      </c>
      <c r="Z28" s="13">
        <f t="shared" si="18"/>
        <v>6.3133659061584014E-3</v>
      </c>
      <c r="AA28" s="8">
        <f t="shared" si="19"/>
        <v>566.82663511796181</v>
      </c>
      <c r="AB28" s="23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</row>
    <row r="29" spans="1:251" ht="12">
      <c r="A29" s="62">
        <f t="shared" si="2"/>
        <v>16</v>
      </c>
      <c r="B29" s="62">
        <f>IF($A$13="TG18-QC",3712,3600)</f>
        <v>3600</v>
      </c>
      <c r="C29" s="194">
        <f>unfors!E19</f>
        <v>291</v>
      </c>
      <c r="D29" s="133">
        <f t="shared" si="9"/>
        <v>291</v>
      </c>
      <c r="E29" s="66">
        <f t="shared" si="10"/>
        <v>623.9712022103563</v>
      </c>
      <c r="F29" s="66">
        <f t="shared" si="11"/>
        <v>0.26459143968871596</v>
      </c>
      <c r="G29" s="55">
        <f t="shared" si="12"/>
        <v>6.9453174593371953E-3</v>
      </c>
      <c r="H29" s="59">
        <f t="shared" si="13"/>
        <v>604.9230131795581</v>
      </c>
      <c r="I29" s="56">
        <f t="shared" si="3"/>
        <v>0.77989450899268042</v>
      </c>
      <c r="J29" s="15"/>
      <c r="K29" s="1"/>
      <c r="O29" s="8">
        <f t="shared" si="4"/>
        <v>16</v>
      </c>
      <c r="P29" s="8">
        <f t="shared" si="5"/>
        <v>3600</v>
      </c>
      <c r="Q29" s="24">
        <f t="shared" si="14"/>
        <v>286.79087107008877</v>
      </c>
      <c r="R29" s="10">
        <f t="shared" si="6"/>
        <v>623.9712022103563</v>
      </c>
      <c r="S29" s="13">
        <f t="shared" si="7"/>
        <v>0.26254387442835259</v>
      </c>
      <c r="T29" s="13">
        <f t="shared" si="8"/>
        <v>0.28879826187118784</v>
      </c>
      <c r="U29" s="13">
        <f t="shared" si="15"/>
        <v>0.23628948698551733</v>
      </c>
      <c r="V29" s="13">
        <f t="shared" si="0"/>
        <v>686.36832243139202</v>
      </c>
      <c r="W29" s="13">
        <f t="shared" si="1"/>
        <v>561.57408198932069</v>
      </c>
      <c r="X29" s="13">
        <f t="shared" si="16"/>
        <v>6.8915704795835626E-3</v>
      </c>
      <c r="Y29" s="13">
        <f t="shared" si="17"/>
        <v>7.5807275275419188E-3</v>
      </c>
      <c r="Z29" s="13">
        <f t="shared" si="18"/>
        <v>6.2024134316252064E-3</v>
      </c>
      <c r="AA29" s="8">
        <f t="shared" si="19"/>
        <v>604.9230131795581</v>
      </c>
      <c r="AB29" s="23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</row>
    <row r="30" spans="1:251" ht="12">
      <c r="A30" s="62">
        <f t="shared" si="2"/>
        <v>17</v>
      </c>
      <c r="B30" s="62">
        <f>IF($A$13="TG18-QC",3968,3840)</f>
        <v>3840</v>
      </c>
      <c r="C30" s="194">
        <f>unfors!E20</f>
        <v>379</v>
      </c>
      <c r="D30" s="133">
        <f t="shared" si="9"/>
        <v>379</v>
      </c>
      <c r="E30" s="66">
        <f t="shared" si="10"/>
        <v>662.06758027195258</v>
      </c>
      <c r="F30" s="66">
        <f t="shared" si="11"/>
        <v>0.2626865671641791</v>
      </c>
      <c r="G30" s="55">
        <f t="shared" si="12"/>
        <v>6.8953160518160873E-3</v>
      </c>
      <c r="H30" s="59">
        <f t="shared" si="13"/>
        <v>643.01939124115438</v>
      </c>
      <c r="I30" s="56">
        <f t="shared" si="3"/>
        <v>1.5361190132250246</v>
      </c>
      <c r="J30" s="15"/>
      <c r="K30" s="1"/>
      <c r="O30" s="8">
        <f t="shared" si="4"/>
        <v>17</v>
      </c>
      <c r="P30" s="8">
        <f t="shared" si="5"/>
        <v>3840</v>
      </c>
      <c r="Q30" s="24">
        <f t="shared" si="14"/>
        <v>372.01098805778872</v>
      </c>
      <c r="R30" s="10">
        <f t="shared" si="6"/>
        <v>662.06758027195258</v>
      </c>
      <c r="S30" s="13">
        <f t="shared" si="7"/>
        <v>0.25871243624149581</v>
      </c>
      <c r="T30" s="13">
        <f t="shared" si="8"/>
        <v>0.28458367986564542</v>
      </c>
      <c r="U30" s="13">
        <f t="shared" si="15"/>
        <v>0.23284119261734623</v>
      </c>
      <c r="V30" s="13">
        <f t="shared" si="0"/>
        <v>728.27433829914787</v>
      </c>
      <c r="W30" s="13">
        <f t="shared" si="1"/>
        <v>595.86082224475729</v>
      </c>
      <c r="X30" s="13">
        <f t="shared" si="16"/>
        <v>6.7909982367141452E-3</v>
      </c>
      <c r="Y30" s="13">
        <f t="shared" si="17"/>
        <v>7.4700980603855608E-3</v>
      </c>
      <c r="Z30" s="13">
        <f t="shared" si="18"/>
        <v>6.1118984130427313E-3</v>
      </c>
      <c r="AA30" s="8">
        <f t="shared" si="19"/>
        <v>643.01939124115438</v>
      </c>
      <c r="AB30" s="23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</row>
    <row r="31" spans="1:251" ht="12">
      <c r="A31" s="63">
        <f t="shared" si="2"/>
        <v>18</v>
      </c>
      <c r="B31" s="63">
        <f>IF($A$13="TG18-QC",4095,4080)</f>
        <v>4080</v>
      </c>
      <c r="C31" s="197">
        <f>unfors!E21</f>
        <v>481</v>
      </c>
      <c r="D31" s="133">
        <f t="shared" si="9"/>
        <v>481</v>
      </c>
      <c r="E31" s="66">
        <f t="shared" si="10"/>
        <v>700.16395833354886</v>
      </c>
      <c r="F31" s="67">
        <f t="shared" si="11"/>
        <v>0.23720930232558141</v>
      </c>
      <c r="G31" s="57">
        <f t="shared" si="12"/>
        <v>6.2265578618011554E-3</v>
      </c>
      <c r="H31" s="60">
        <f t="shared" si="13"/>
        <v>681.11576930275078</v>
      </c>
      <c r="I31" s="58">
        <f t="shared" si="3"/>
        <v>7.173146289036084</v>
      </c>
      <c r="J31" s="62"/>
      <c r="K31" s="65"/>
      <c r="O31" s="8">
        <f t="shared" si="4"/>
        <v>18</v>
      </c>
      <c r="P31" s="8">
        <f t="shared" si="5"/>
        <v>4080</v>
      </c>
      <c r="Q31" s="22">
        <f>IF(D31="","",D31)</f>
        <v>481</v>
      </c>
      <c r="R31" s="13">
        <f>IF(C31="","",(71.498068+94.593053*LOG(Q31,10)+41.912053*POWER(LOG(Q31,10),2)+9.8247004*POWER(LOG(Q31,10),3)+0.28175407*POWER(LOG(Q31,10),4)-1.1878455*POWER(LOG(Q31,10),5)-0.18014349*POWER(LOG(Q31,10),6)+0.14710899*POWER(LOG(Q31,10),7)-0.017046845*POWER(LOG(Q31,10),8)))</f>
        <v>700.16395833354886</v>
      </c>
      <c r="S31" s="13">
        <f t="shared" si="7"/>
        <v>0.25553952637906141</v>
      </c>
      <c r="T31" s="13">
        <f t="shared" si="8"/>
        <v>0.28109347901696757</v>
      </c>
      <c r="U31" s="13">
        <f t="shared" si="15"/>
        <v>0.22998557374115527</v>
      </c>
      <c r="V31" s="13">
        <f t="shared" si="0"/>
        <v>770.18035416690384</v>
      </c>
      <c r="W31" s="13">
        <f t="shared" si="1"/>
        <v>630.147562500194</v>
      </c>
      <c r="X31" s="13">
        <f t="shared" si="16"/>
        <v>6.7077118450969619E-3</v>
      </c>
      <c r="Y31" s="13">
        <f t="shared" si="17"/>
        <v>7.3784830296066582E-3</v>
      </c>
      <c r="Z31" s="13">
        <f t="shared" si="18"/>
        <v>6.0369406605872656E-3</v>
      </c>
      <c r="AA31" s="8">
        <f t="shared" si="19"/>
        <v>681.11576930275078</v>
      </c>
      <c r="AB31" s="23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</row>
    <row r="32" spans="1:251" ht="12">
      <c r="A32" s="164" t="s">
        <v>20</v>
      </c>
      <c r="B32" s="165"/>
      <c r="C32" s="163">
        <f>IF(C14="","",C14)</f>
        <v>0.60099999999999998</v>
      </c>
      <c r="D32" s="165"/>
      <c r="E32" s="166" t="s">
        <v>24</v>
      </c>
      <c r="F32" s="167">
        <f>IF(C32="","",C33/C32)</f>
        <v>800.33277870216307</v>
      </c>
      <c r="G32" s="165"/>
      <c r="H32" s="165"/>
      <c r="I32" s="171"/>
      <c r="Q32" s="15"/>
      <c r="T32" s="25"/>
      <c r="U32" s="11"/>
    </row>
    <row r="33" spans="1:21" ht="12">
      <c r="A33" s="73" t="s">
        <v>21</v>
      </c>
      <c r="B33" s="71"/>
      <c r="C33" s="162">
        <f>IF(C14="","",C31)</f>
        <v>481</v>
      </c>
      <c r="D33" s="71"/>
      <c r="E33" s="74" t="s">
        <v>80</v>
      </c>
      <c r="F33" s="75">
        <f>IF(D14="","",D31/D14)</f>
        <v>800.33277870216307</v>
      </c>
      <c r="G33" s="153" t="s">
        <v>81</v>
      </c>
      <c r="H33" s="71"/>
      <c r="I33" s="161">
        <f>F33/F32</f>
        <v>1</v>
      </c>
      <c r="Q33" s="15"/>
      <c r="T33" s="25"/>
      <c r="U33" s="11"/>
    </row>
    <row r="34" spans="1:21" ht="12">
      <c r="A34" s="3"/>
      <c r="Q34" s="25" t="s">
        <v>13</v>
      </c>
      <c r="R34" s="26"/>
      <c r="T34" s="11"/>
    </row>
    <row r="35" spans="1:21">
      <c r="P35" s="12" t="s">
        <v>9</v>
      </c>
      <c r="Q35" s="26">
        <f>IF(D31="","",(R31-R14)/P31)</f>
        <v>0.1587349085899846</v>
      </c>
      <c r="T35" s="11"/>
    </row>
    <row r="36" spans="1:21">
      <c r="P36" s="12" t="s">
        <v>10</v>
      </c>
      <c r="Q36" s="25">
        <f>IF(D14="","",R14)</f>
        <v>52.525531286411756</v>
      </c>
      <c r="R36" s="26"/>
      <c r="T36" s="11"/>
    </row>
    <row r="37" spans="1:21">
      <c r="J37" s="27"/>
      <c r="K37" s="27"/>
      <c r="L37" s="11"/>
      <c r="N37" s="25"/>
      <c r="O37" s="11"/>
    </row>
    <row r="51" spans="1:256" ht="12">
      <c r="A51" s="28" t="s">
        <v>23</v>
      </c>
      <c r="B51" s="8"/>
      <c r="C51" s="8"/>
      <c r="D51" s="8"/>
      <c r="E51" s="8"/>
      <c r="F51" s="8"/>
      <c r="G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  <c r="IT51" s="8"/>
      <c r="IU51" s="8"/>
      <c r="IV51" s="8"/>
    </row>
    <row r="52" spans="1:256" ht="12">
      <c r="A52" s="16" t="s">
        <v>27</v>
      </c>
      <c r="B52" s="17"/>
      <c r="C52" s="18"/>
      <c r="D52" s="150">
        <f>D10</f>
        <v>0</v>
      </c>
      <c r="E52" s="30"/>
      <c r="F52" s="19" t="s">
        <v>18</v>
      </c>
      <c r="G52" s="20">
        <v>12</v>
      </c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  <c r="IT52" s="8"/>
      <c r="IU52" s="8"/>
      <c r="IV52" s="8"/>
    </row>
    <row r="53" spans="1:256" s="8" customFormat="1" ht="12">
      <c r="A53" s="28"/>
      <c r="O53" s="3" t="s">
        <v>0</v>
      </c>
      <c r="P53" s="15"/>
      <c r="R53" s="6"/>
      <c r="T53" s="6"/>
    </row>
    <row r="54" spans="1:256" ht="12" customHeight="1">
      <c r="A54" s="256" t="s">
        <v>17</v>
      </c>
      <c r="B54" s="257"/>
      <c r="C54" s="253" t="s">
        <v>84</v>
      </c>
      <c r="D54" s="254"/>
      <c r="E54" s="21" t="s">
        <v>2</v>
      </c>
      <c r="F54" s="21" t="s">
        <v>3</v>
      </c>
      <c r="G54" s="261" t="s">
        <v>11</v>
      </c>
      <c r="H54" s="21" t="s">
        <v>14</v>
      </c>
      <c r="I54" s="21" t="s">
        <v>28</v>
      </c>
      <c r="O54" s="256" t="s">
        <v>17</v>
      </c>
      <c r="P54" s="257"/>
      <c r="Q54" s="21" t="s">
        <v>1</v>
      </c>
      <c r="R54" s="32" t="s">
        <v>2</v>
      </c>
      <c r="S54" s="256" t="s">
        <v>3</v>
      </c>
      <c r="T54" s="255"/>
      <c r="U54" s="257"/>
      <c r="V54" s="256" t="s">
        <v>2</v>
      </c>
      <c r="W54" s="257"/>
      <c r="X54" s="256" t="s">
        <v>11</v>
      </c>
      <c r="Y54" s="255"/>
      <c r="Z54" s="257"/>
      <c r="AA54" s="32" t="s">
        <v>14</v>
      </c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  <c r="IT54" s="8"/>
      <c r="IU54" s="8"/>
      <c r="IV54" s="8"/>
    </row>
    <row r="55" spans="1:256" ht="12" customHeight="1">
      <c r="A55" s="19" t="str">
        <f>A13</f>
        <v>TG18-LN</v>
      </c>
      <c r="B55" s="19" t="s">
        <v>4</v>
      </c>
      <c r="C55" s="195" t="s">
        <v>85</v>
      </c>
      <c r="D55" s="160" t="s">
        <v>86</v>
      </c>
      <c r="E55" s="14" t="s">
        <v>6</v>
      </c>
      <c r="F55" s="51"/>
      <c r="G55" s="262"/>
      <c r="H55" s="14" t="s">
        <v>2</v>
      </c>
      <c r="I55" s="14" t="s">
        <v>19</v>
      </c>
      <c r="O55" s="36" t="s">
        <v>12</v>
      </c>
      <c r="P55" s="37" t="s">
        <v>4</v>
      </c>
      <c r="Q55" s="14" t="s">
        <v>5</v>
      </c>
      <c r="R55" s="37" t="s">
        <v>6</v>
      </c>
      <c r="S55" s="40">
        <v>0</v>
      </c>
      <c r="T55" s="35" t="s">
        <v>7</v>
      </c>
      <c r="U55" s="38" t="s">
        <v>8</v>
      </c>
      <c r="V55" s="39" t="s">
        <v>7</v>
      </c>
      <c r="W55" s="38" t="s">
        <v>8</v>
      </c>
      <c r="X55" s="40">
        <v>0</v>
      </c>
      <c r="Y55" s="35" t="s">
        <v>7</v>
      </c>
      <c r="Z55" s="38" t="s">
        <v>8</v>
      </c>
      <c r="AA55" s="37" t="s">
        <v>2</v>
      </c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</row>
    <row r="56" spans="1:256" ht="12">
      <c r="A56" s="47">
        <v>1</v>
      </c>
      <c r="B56" s="134">
        <f>B14</f>
        <v>0</v>
      </c>
      <c r="C56" s="196">
        <f>unfors!E23</f>
        <v>0.53500000000000003</v>
      </c>
      <c r="D56" s="147">
        <f>IF(C56="","",C56+$D$52)</f>
        <v>0.53500000000000003</v>
      </c>
      <c r="E56" s="68">
        <f>R56</f>
        <v>48.701247130961036</v>
      </c>
      <c r="F56" s="68"/>
      <c r="G56" s="41"/>
      <c r="H56" s="48"/>
      <c r="I56" s="42"/>
      <c r="O56" s="8">
        <v>1</v>
      </c>
      <c r="P56" s="8">
        <v>0</v>
      </c>
      <c r="Q56" s="22">
        <f>IF(D56="","",D56)</f>
        <v>0.53500000000000003</v>
      </c>
      <c r="R56" s="13">
        <f>IF(D56="","",(71.498068+94.593053*LOG(Q56,10)+41.912053*POWER(LOG(Q56,10),2)+9.8247004*POWER(LOG(Q56,10),3)+0.28175407*POWER(LOG(Q56,10),4)-1.1878455*POWER(LOG(Q56,10),5)-0.18014349*POWER(LOG(Q56,10),6)+0.14710899*POWER(LOG(Q56,10),7)-0.017046845*POWER(LOG(Q56,10),8)))</f>
        <v>48.701247130961036</v>
      </c>
      <c r="V56" s="13">
        <f>IF($C$73="","",R56*1.1)</f>
        <v>53.571371844057147</v>
      </c>
      <c r="W56" s="13">
        <f>IF($C$73="","",R56*0.9)</f>
        <v>43.831122417864933</v>
      </c>
      <c r="X56" s="8" t="s">
        <v>3</v>
      </c>
      <c r="Y56" s="9" t="s">
        <v>7</v>
      </c>
      <c r="Z56" s="9" t="s">
        <v>8</v>
      </c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</row>
    <row r="57" spans="1:256" ht="12">
      <c r="A57" s="49">
        <f t="shared" ref="A57:A73" si="20">A56+1</f>
        <v>2</v>
      </c>
      <c r="B57" s="145">
        <f t="shared" ref="B57:B73" si="21">B15</f>
        <v>240</v>
      </c>
      <c r="C57" s="194">
        <f>unfors!E24</f>
        <v>1.41</v>
      </c>
      <c r="D57" s="148">
        <f t="shared" ref="D57:D73" si="22">IF(C57="","",C57+$D$52)</f>
        <v>1.41</v>
      </c>
      <c r="E57" s="69">
        <f>R57</f>
        <v>86.669704529825779</v>
      </c>
      <c r="F57" s="69">
        <f>IF($D$73="","",((D57-D56)/(0.5*(D57+D56))))</f>
        <v>0.89974293059125965</v>
      </c>
      <c r="G57" s="43">
        <f>IF(C57="","",F57/(E57-E56))</f>
        <v>2.3697115770053959E-2</v>
      </c>
      <c r="H57" s="61">
        <f>IF(C57="","",(E57+E56)/2)</f>
        <v>67.685475830393415</v>
      </c>
      <c r="I57" s="44">
        <f t="shared" ref="I57:I73" si="23">IF(D57="","",(ABS(X57-G57)/X57)*100)</f>
        <v>0.13887748186072177</v>
      </c>
      <c r="O57" s="8">
        <f t="shared" ref="O57:O73" si="24">O56+1</f>
        <v>2</v>
      </c>
      <c r="P57" s="8">
        <f t="shared" ref="P57:P73" si="25">B57</f>
        <v>240</v>
      </c>
      <c r="Q57" s="24">
        <f>IF($D$73="","",(10^((-1.3011877+(0.080242636*LN(R57))+(0.13646699*(LN(R57))^2)+(-0.025468404*(LN(R57))^3)+(0.0013635334*(LN(R57))^4))/(1+(-0.025840191*LN(R57))+(-0.10320229*(LN(R57))^2)+(0.02874562*(LN(R57))^3)+(-0.0031978977*(LN(R57))^4)+(0.00012992634*(LN(R57))^5)))))</f>
        <v>1.4122144886430943</v>
      </c>
      <c r="R57" s="10">
        <f t="shared" ref="R57:R72" si="26">IF($D$73="","",($Q$78*P57+$Q$79))</f>
        <v>86.669704529825779</v>
      </c>
      <c r="S57" s="13">
        <f>IF($C$73="","",((Q57-Q56)/(0.5*(Q57+Q56))))</f>
        <v>0.9009942086599575</v>
      </c>
      <c r="T57" s="13">
        <f>IF($C$73="","",S57*1.1)</f>
        <v>0.99109362952595337</v>
      </c>
      <c r="U57" s="13">
        <f>IF($C$73="","",S57*0.9)</f>
        <v>0.81089478779396174</v>
      </c>
      <c r="V57" s="13">
        <f t="shared" ref="V57:V73" si="27">IF($C$73="","",R57*1.1)</f>
        <v>95.336674982808361</v>
      </c>
      <c r="W57" s="13">
        <f t="shared" ref="W57:W73" si="28">IF($C$73="","",R57*0.9)</f>
        <v>78.002734076843197</v>
      </c>
      <c r="X57" s="13">
        <f t="shared" ref="X57:X73" si="29">S57/(R57-R56)</f>
        <v>2.3730071495791063E-2</v>
      </c>
      <c r="Y57" s="13">
        <f t="shared" ref="Y57:Y73" si="30">T57/(R57-R56)</f>
        <v>2.6103078645370172E-2</v>
      </c>
      <c r="Z57" s="13">
        <f t="shared" ref="Z57:Z73" si="31">U57/(R57-R56)</f>
        <v>2.1357064346211957E-2</v>
      </c>
      <c r="AA57" s="8">
        <f>(R56+R57)/2</f>
        <v>67.685475830393415</v>
      </c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</row>
    <row r="58" spans="1:256" ht="12">
      <c r="A58" s="49">
        <f t="shared" si="20"/>
        <v>3</v>
      </c>
      <c r="B58" s="145">
        <f t="shared" si="21"/>
        <v>480</v>
      </c>
      <c r="C58" s="194">
        <f>unfors!E25</f>
        <v>2.87</v>
      </c>
      <c r="D58" s="148">
        <f t="shared" si="22"/>
        <v>2.87</v>
      </c>
      <c r="E58" s="69">
        <f t="shared" ref="E58:E73" si="32">R58</f>
        <v>124.63816192869052</v>
      </c>
      <c r="F58" s="69">
        <f t="shared" ref="F58:F73" si="33">IF($D$73="","",((D58-D57)/(0.5*(D58+D57))))</f>
        <v>0.68224299065420568</v>
      </c>
      <c r="G58" s="43">
        <f t="shared" ref="G58:G73" si="34">IF(C58="","",F58/(E58-E57))</f>
        <v>1.7968678144785644E-2</v>
      </c>
      <c r="H58" s="61">
        <f t="shared" ref="H58:H73" si="35">IF(C58="","",(E58+E57)/2)</f>
        <v>105.65393322925814</v>
      </c>
      <c r="I58" s="44">
        <f t="shared" si="23"/>
        <v>2.7076027866928597E-2</v>
      </c>
      <c r="O58" s="8">
        <f t="shared" si="24"/>
        <v>3</v>
      </c>
      <c r="P58" s="8">
        <f t="shared" si="25"/>
        <v>480</v>
      </c>
      <c r="Q58" s="24">
        <f t="shared" ref="Q58:Q72" si="36">IF($D$73="","",(10^((-1.3011877+(0.080242636*LN(R58))+(0.13646699*(LN(R58))^2)+(-0.025468404*(LN(R58))^3)+(0.0013635334*(LN(R58))^4))/(1+(-0.025840191*LN(R58))+(-0.10320229*(LN(R58))^2)+(0.02874562*(LN(R58))^3)+(-0.0031978977*(LN(R58))^4)+(0.00012992634*(LN(R58))^5)))))</f>
        <v>2.8739068357442616</v>
      </c>
      <c r="R58" s="10">
        <f t="shared" si="26"/>
        <v>124.63816192869052</v>
      </c>
      <c r="S58" s="13">
        <f t="shared" ref="S58:S73" si="37">IF($C$73="","",((Q58-Q57)/(0.5*(Q58+Q57))))</f>
        <v>0.68205831635440084</v>
      </c>
      <c r="T58" s="13">
        <f t="shared" ref="T58:T73" si="38">IF($C$73="","",S58*1.1)</f>
        <v>0.75026414798984098</v>
      </c>
      <c r="U58" s="13">
        <f t="shared" ref="U58:U73" si="39">IF($C$73="","",S58*0.9)</f>
        <v>0.61385248471896081</v>
      </c>
      <c r="V58" s="13">
        <f t="shared" si="27"/>
        <v>137.1019781215596</v>
      </c>
      <c r="W58" s="13">
        <f t="shared" si="28"/>
        <v>112.17434573582148</v>
      </c>
      <c r="X58" s="13">
        <f t="shared" si="29"/>
        <v>1.7963814257431338E-2</v>
      </c>
      <c r="Y58" s="13">
        <f t="shared" si="30"/>
        <v>1.9760195683174473E-2</v>
      </c>
      <c r="Z58" s="13">
        <f t="shared" si="31"/>
        <v>1.6167432831688207E-2</v>
      </c>
      <c r="AA58" s="8">
        <f t="shared" ref="AA58:AA73" si="40">(R57+R58)/2</f>
        <v>105.65393322925814</v>
      </c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</row>
    <row r="59" spans="1:256" ht="12">
      <c r="A59" s="49">
        <f t="shared" si="20"/>
        <v>4</v>
      </c>
      <c r="B59" s="145">
        <f t="shared" si="21"/>
        <v>720</v>
      </c>
      <c r="C59" s="194">
        <f>unfors!E26</f>
        <v>5.14</v>
      </c>
      <c r="D59" s="148">
        <f t="shared" si="22"/>
        <v>5.14</v>
      </c>
      <c r="E59" s="69">
        <f t="shared" si="32"/>
        <v>162.60661932755528</v>
      </c>
      <c r="F59" s="69">
        <f t="shared" si="33"/>
        <v>0.56679151061173527</v>
      </c>
      <c r="G59" s="43">
        <f t="shared" si="34"/>
        <v>1.4927957295117344E-2</v>
      </c>
      <c r="H59" s="61">
        <f t="shared" si="35"/>
        <v>143.6223906281229</v>
      </c>
      <c r="I59" s="44">
        <f t="shared" si="23"/>
        <v>1.8345519154734387</v>
      </c>
      <c r="O59" s="8">
        <f t="shared" si="24"/>
        <v>4</v>
      </c>
      <c r="P59" s="8">
        <f t="shared" si="25"/>
        <v>720</v>
      </c>
      <c r="Q59" s="24">
        <f t="shared" si="36"/>
        <v>5.090256955048261</v>
      </c>
      <c r="R59" s="10">
        <f t="shared" si="26"/>
        <v>162.60661932755528</v>
      </c>
      <c r="S59" s="13">
        <f t="shared" si="37"/>
        <v>0.55658074784106071</v>
      </c>
      <c r="T59" s="13">
        <f t="shared" si="38"/>
        <v>0.61223882262516682</v>
      </c>
      <c r="U59" s="13">
        <f t="shared" si="39"/>
        <v>0.5009226730569547</v>
      </c>
      <c r="V59" s="13">
        <f t="shared" si="27"/>
        <v>178.86728126031082</v>
      </c>
      <c r="W59" s="13">
        <f t="shared" si="28"/>
        <v>146.34595739479977</v>
      </c>
      <c r="X59" s="13">
        <f t="shared" si="29"/>
        <v>1.4659029783435506E-2</v>
      </c>
      <c r="Y59" s="13">
        <f t="shared" si="30"/>
        <v>1.6124932761779058E-2</v>
      </c>
      <c r="Z59" s="13">
        <f t="shared" si="31"/>
        <v>1.3193126805091958E-2</v>
      </c>
      <c r="AA59" s="8">
        <f t="shared" si="40"/>
        <v>143.6223906281229</v>
      </c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</row>
    <row r="60" spans="1:256" ht="12">
      <c r="A60" s="49">
        <f t="shared" si="20"/>
        <v>5</v>
      </c>
      <c r="B60" s="145">
        <f t="shared" si="21"/>
        <v>960</v>
      </c>
      <c r="C60" s="194">
        <f>unfors!E27</f>
        <v>8.3000000000000007</v>
      </c>
      <c r="D60" s="148">
        <f t="shared" si="22"/>
        <v>8.3000000000000007</v>
      </c>
      <c r="E60" s="69">
        <f t="shared" si="32"/>
        <v>200.57507672642001</v>
      </c>
      <c r="F60" s="69">
        <f t="shared" si="33"/>
        <v>0.47023809523809534</v>
      </c>
      <c r="G60" s="43">
        <f t="shared" si="34"/>
        <v>1.2384967087236883E-2</v>
      </c>
      <c r="H60" s="61">
        <f t="shared" si="35"/>
        <v>181.59084802698766</v>
      </c>
      <c r="I60" s="44">
        <f t="shared" si="23"/>
        <v>1.318205801242504</v>
      </c>
      <c r="O60" s="8">
        <f t="shared" si="24"/>
        <v>5</v>
      </c>
      <c r="P60" s="8">
        <f t="shared" si="25"/>
        <v>960</v>
      </c>
      <c r="Q60" s="24">
        <f t="shared" si="36"/>
        <v>8.2745542218749719</v>
      </c>
      <c r="R60" s="10">
        <f t="shared" si="26"/>
        <v>200.57507672642001</v>
      </c>
      <c r="S60" s="13">
        <f t="shared" si="37"/>
        <v>0.47651960430611645</v>
      </c>
      <c r="T60" s="13">
        <f t="shared" si="38"/>
        <v>0.5241715647367281</v>
      </c>
      <c r="U60" s="13">
        <f t="shared" si="39"/>
        <v>0.4288676438755048</v>
      </c>
      <c r="V60" s="13">
        <f t="shared" si="27"/>
        <v>220.63258439906204</v>
      </c>
      <c r="W60" s="13">
        <f t="shared" si="28"/>
        <v>180.517569053778</v>
      </c>
      <c r="X60" s="13">
        <f t="shared" si="29"/>
        <v>1.2550407284135924E-2</v>
      </c>
      <c r="Y60" s="13">
        <f t="shared" si="30"/>
        <v>1.3805448012549518E-2</v>
      </c>
      <c r="Z60" s="13">
        <f t="shared" si="31"/>
        <v>1.1295366555722332E-2</v>
      </c>
      <c r="AA60" s="8">
        <f t="shared" si="40"/>
        <v>181.59084802698766</v>
      </c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</row>
    <row r="61" spans="1:256" ht="12">
      <c r="A61" s="49">
        <f t="shared" si="20"/>
        <v>6</v>
      </c>
      <c r="B61" s="145">
        <f t="shared" si="21"/>
        <v>1200</v>
      </c>
      <c r="C61" s="194">
        <f>unfors!E28</f>
        <v>12.6</v>
      </c>
      <c r="D61" s="148">
        <f t="shared" si="22"/>
        <v>12.6</v>
      </c>
      <c r="E61" s="69">
        <f t="shared" si="32"/>
        <v>238.54353412528476</v>
      </c>
      <c r="F61" s="69">
        <f t="shared" si="33"/>
        <v>0.41148325358851667</v>
      </c>
      <c r="G61" s="43">
        <f t="shared" si="34"/>
        <v>1.0837502542329252E-2</v>
      </c>
      <c r="H61" s="61">
        <f t="shared" si="35"/>
        <v>219.55930542585239</v>
      </c>
      <c r="I61" s="44">
        <f t="shared" si="23"/>
        <v>2.4454656767371361</v>
      </c>
      <c r="O61" s="8">
        <f t="shared" si="24"/>
        <v>6</v>
      </c>
      <c r="P61" s="8">
        <f t="shared" si="25"/>
        <v>1200</v>
      </c>
      <c r="Q61" s="24">
        <f t="shared" si="36"/>
        <v>12.697552475202187</v>
      </c>
      <c r="R61" s="10">
        <f t="shared" si="26"/>
        <v>238.54353412528476</v>
      </c>
      <c r="S61" s="13">
        <f t="shared" si="37"/>
        <v>0.42179818338838027</v>
      </c>
      <c r="T61" s="13">
        <f t="shared" si="38"/>
        <v>0.46397800172721831</v>
      </c>
      <c r="U61" s="13">
        <f t="shared" si="39"/>
        <v>0.37961836504954227</v>
      </c>
      <c r="V61" s="13">
        <f t="shared" si="27"/>
        <v>262.39788753781329</v>
      </c>
      <c r="W61" s="13">
        <f t="shared" si="28"/>
        <v>214.6891807127563</v>
      </c>
      <c r="X61" s="13">
        <f t="shared" si="29"/>
        <v>1.1109173568926503E-2</v>
      </c>
      <c r="Y61" s="13">
        <f t="shared" si="30"/>
        <v>1.2220090925819153E-2</v>
      </c>
      <c r="Z61" s="13">
        <f t="shared" si="31"/>
        <v>9.9982562120338528E-3</v>
      </c>
      <c r="AA61" s="8">
        <f t="shared" si="40"/>
        <v>219.55930542585239</v>
      </c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</row>
    <row r="62" spans="1:256" ht="12">
      <c r="A62" s="49">
        <f t="shared" si="20"/>
        <v>7</v>
      </c>
      <c r="B62" s="145">
        <f t="shared" si="21"/>
        <v>1440</v>
      </c>
      <c r="C62" s="194">
        <f>unfors!E29</f>
        <v>18.7</v>
      </c>
      <c r="D62" s="148">
        <f t="shared" si="22"/>
        <v>18.7</v>
      </c>
      <c r="E62" s="69">
        <f t="shared" si="32"/>
        <v>276.51199152414949</v>
      </c>
      <c r="F62" s="69">
        <f t="shared" si="33"/>
        <v>0.38977635782747605</v>
      </c>
      <c r="G62" s="43">
        <f t="shared" si="34"/>
        <v>1.0265793886035794E-2</v>
      </c>
      <c r="H62" s="61">
        <f t="shared" si="35"/>
        <v>257.52776282471712</v>
      </c>
      <c r="I62" s="44">
        <f t="shared" si="23"/>
        <v>1.8903089772165715</v>
      </c>
      <c r="O62" s="8">
        <f t="shared" si="24"/>
        <v>7</v>
      </c>
      <c r="P62" s="8">
        <f t="shared" si="25"/>
        <v>1440</v>
      </c>
      <c r="Q62" s="24">
        <f t="shared" si="36"/>
        <v>18.703761455027159</v>
      </c>
      <c r="R62" s="10">
        <f t="shared" si="26"/>
        <v>276.51199152414949</v>
      </c>
      <c r="S62" s="13">
        <f t="shared" si="37"/>
        <v>0.38254507395264936</v>
      </c>
      <c r="T62" s="13">
        <f t="shared" si="38"/>
        <v>0.42079958134791434</v>
      </c>
      <c r="U62" s="13">
        <f t="shared" si="39"/>
        <v>0.34429056655738444</v>
      </c>
      <c r="V62" s="13">
        <f t="shared" si="27"/>
        <v>304.16319067656445</v>
      </c>
      <c r="W62" s="13">
        <f t="shared" si="28"/>
        <v>248.86079237173456</v>
      </c>
      <c r="X62" s="13">
        <f t="shared" si="29"/>
        <v>1.0075338851245707E-2</v>
      </c>
      <c r="Y62" s="13">
        <f t="shared" si="30"/>
        <v>1.108287273637028E-2</v>
      </c>
      <c r="Z62" s="13">
        <f t="shared" si="31"/>
        <v>9.0678049661211367E-3</v>
      </c>
      <c r="AA62" s="8">
        <f t="shared" si="40"/>
        <v>257.52776282471712</v>
      </c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</row>
    <row r="63" spans="1:256" ht="12">
      <c r="A63" s="49">
        <f t="shared" si="20"/>
        <v>8</v>
      </c>
      <c r="B63" s="145">
        <f t="shared" si="21"/>
        <v>1680</v>
      </c>
      <c r="C63" s="194">
        <f>unfors!E30</f>
        <v>26.6</v>
      </c>
      <c r="D63" s="148">
        <f t="shared" si="22"/>
        <v>26.6</v>
      </c>
      <c r="E63" s="69">
        <f t="shared" si="32"/>
        <v>314.48044892301425</v>
      </c>
      <c r="F63" s="69">
        <f t="shared" si="33"/>
        <v>0.34878587196468003</v>
      </c>
      <c r="G63" s="43">
        <f t="shared" si="34"/>
        <v>9.1862007534472181E-3</v>
      </c>
      <c r="H63" s="61">
        <f t="shared" si="35"/>
        <v>295.49622022358187</v>
      </c>
      <c r="I63" s="44">
        <f t="shared" si="23"/>
        <v>1.2985296627771874</v>
      </c>
      <c r="O63" s="8">
        <f t="shared" si="24"/>
        <v>8</v>
      </c>
      <c r="P63" s="8">
        <f t="shared" si="25"/>
        <v>1680</v>
      </c>
      <c r="Q63" s="24">
        <f t="shared" si="36"/>
        <v>26.731614030358255</v>
      </c>
      <c r="R63" s="10">
        <f t="shared" si="26"/>
        <v>314.48044892301425</v>
      </c>
      <c r="S63" s="13">
        <f t="shared" si="37"/>
        <v>0.35337454525552703</v>
      </c>
      <c r="T63" s="13">
        <f t="shared" si="38"/>
        <v>0.38871199978107979</v>
      </c>
      <c r="U63" s="13">
        <f t="shared" si="39"/>
        <v>0.31803709072997433</v>
      </c>
      <c r="V63" s="13">
        <f t="shared" si="27"/>
        <v>345.92849381531568</v>
      </c>
      <c r="W63" s="13">
        <f t="shared" si="28"/>
        <v>283.03240403071283</v>
      </c>
      <c r="X63" s="13">
        <f t="shared" si="29"/>
        <v>9.3070556315541231E-3</v>
      </c>
      <c r="Y63" s="13">
        <f t="shared" si="30"/>
        <v>1.0237761194709536E-2</v>
      </c>
      <c r="Z63" s="13">
        <f t="shared" si="31"/>
        <v>8.3763500683987097E-3</v>
      </c>
      <c r="AA63" s="8">
        <f t="shared" si="40"/>
        <v>295.49622022358187</v>
      </c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</row>
    <row r="64" spans="1:256" ht="12">
      <c r="A64" s="49">
        <f t="shared" si="20"/>
        <v>9</v>
      </c>
      <c r="B64" s="145">
        <f t="shared" si="21"/>
        <v>1920</v>
      </c>
      <c r="C64" s="194">
        <f>unfors!E31</f>
        <v>37</v>
      </c>
      <c r="D64" s="148">
        <f t="shared" si="22"/>
        <v>37</v>
      </c>
      <c r="E64" s="69">
        <f t="shared" si="32"/>
        <v>352.44890632187901</v>
      </c>
      <c r="F64" s="69">
        <f t="shared" si="33"/>
        <v>0.32704402515723263</v>
      </c>
      <c r="G64" s="43">
        <f t="shared" si="34"/>
        <v>8.6135715686729772E-3</v>
      </c>
      <c r="H64" s="61">
        <f t="shared" si="35"/>
        <v>333.46467762244663</v>
      </c>
      <c r="I64" s="44">
        <f t="shared" si="23"/>
        <v>1.2287824415045918</v>
      </c>
      <c r="O64" s="8">
        <f t="shared" si="24"/>
        <v>9</v>
      </c>
      <c r="P64" s="8">
        <f t="shared" si="25"/>
        <v>1920</v>
      </c>
      <c r="Q64" s="24">
        <f t="shared" si="36"/>
        <v>37.338892597659829</v>
      </c>
      <c r="R64" s="10">
        <f t="shared" si="26"/>
        <v>352.44890632187901</v>
      </c>
      <c r="S64" s="13">
        <f t="shared" si="37"/>
        <v>0.33111267962607316</v>
      </c>
      <c r="T64" s="13">
        <f t="shared" si="38"/>
        <v>0.36422394758868049</v>
      </c>
      <c r="U64" s="13">
        <f t="shared" si="39"/>
        <v>0.29800141166346583</v>
      </c>
      <c r="V64" s="13">
        <f t="shared" si="27"/>
        <v>387.69379695406695</v>
      </c>
      <c r="W64" s="13">
        <f t="shared" si="28"/>
        <v>317.20401568969112</v>
      </c>
      <c r="X64" s="13">
        <f t="shared" si="29"/>
        <v>8.7207303722582445E-3</v>
      </c>
      <c r="Y64" s="13">
        <f t="shared" si="30"/>
        <v>9.5928034094840686E-3</v>
      </c>
      <c r="Z64" s="13">
        <f t="shared" si="31"/>
        <v>7.8486573350324204E-3</v>
      </c>
      <c r="AA64" s="8">
        <f t="shared" si="40"/>
        <v>333.46467762244663</v>
      </c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</row>
    <row r="65" spans="1:251" ht="12">
      <c r="A65" s="49">
        <f t="shared" si="20"/>
        <v>10</v>
      </c>
      <c r="B65" s="145">
        <f t="shared" si="21"/>
        <v>2160</v>
      </c>
      <c r="C65" s="194">
        <f>unfors!E32</f>
        <v>51.1</v>
      </c>
      <c r="D65" s="148">
        <f t="shared" si="22"/>
        <v>51.1</v>
      </c>
      <c r="E65" s="69">
        <f t="shared" si="32"/>
        <v>390.41736372074377</v>
      </c>
      <c r="F65" s="69">
        <f t="shared" si="33"/>
        <v>0.3200908059023837</v>
      </c>
      <c r="G65" s="43">
        <f t="shared" si="34"/>
        <v>8.4304401029459339E-3</v>
      </c>
      <c r="H65" s="61">
        <f t="shared" si="35"/>
        <v>371.43313502131139</v>
      </c>
      <c r="I65" s="44">
        <f t="shared" si="23"/>
        <v>2.0130115934566075</v>
      </c>
      <c r="O65" s="8">
        <f t="shared" si="24"/>
        <v>10</v>
      </c>
      <c r="P65" s="8">
        <f t="shared" si="25"/>
        <v>2160</v>
      </c>
      <c r="Q65" s="24">
        <f t="shared" si="36"/>
        <v>51.235007762444205</v>
      </c>
      <c r="R65" s="10">
        <f t="shared" si="26"/>
        <v>390.41736372074377</v>
      </c>
      <c r="S65" s="13">
        <f t="shared" si="37"/>
        <v>0.31377448906029082</v>
      </c>
      <c r="T65" s="13">
        <f t="shared" si="38"/>
        <v>0.34515193796631993</v>
      </c>
      <c r="U65" s="13">
        <f t="shared" si="39"/>
        <v>0.28239704015426176</v>
      </c>
      <c r="V65" s="13">
        <f t="shared" si="27"/>
        <v>429.45910009281818</v>
      </c>
      <c r="W65" s="13">
        <f t="shared" si="28"/>
        <v>351.37562734866941</v>
      </c>
      <c r="X65" s="13">
        <f t="shared" si="29"/>
        <v>8.2640831510229478E-3</v>
      </c>
      <c r="Y65" s="13">
        <f t="shared" si="30"/>
        <v>9.0904914661252435E-3</v>
      </c>
      <c r="Z65" s="13">
        <f t="shared" si="31"/>
        <v>7.4376748359206539E-3</v>
      </c>
      <c r="AA65" s="8">
        <f t="shared" si="40"/>
        <v>371.43313502131139</v>
      </c>
      <c r="AB65" s="8"/>
      <c r="AC65" s="8"/>
      <c r="AD65" s="8"/>
      <c r="AE65" s="8"/>
      <c r="AF65" s="8"/>
      <c r="AG65" s="8"/>
      <c r="AH65" s="8"/>
      <c r="AI65" s="8"/>
      <c r="AJ65" s="8"/>
      <c r="AK65" s="8"/>
      <c r="AL65" s="8"/>
      <c r="AM65" s="8"/>
      <c r="AN65" s="8"/>
      <c r="AO65" s="8"/>
      <c r="AP65" s="8"/>
      <c r="AQ65" s="8"/>
      <c r="AR65" s="8"/>
      <c r="AS65" s="8"/>
      <c r="AT65" s="8"/>
      <c r="AU65" s="8"/>
      <c r="AV65" s="8"/>
      <c r="AW65" s="8"/>
      <c r="AX65" s="8"/>
      <c r="AY65" s="8"/>
      <c r="AZ65" s="8"/>
      <c r="BA65" s="8"/>
      <c r="BB65" s="8"/>
      <c r="BC65" s="8"/>
      <c r="BD65" s="8"/>
      <c r="BE65" s="8"/>
      <c r="BF65" s="8"/>
      <c r="BG65" s="8"/>
      <c r="BH65" s="8"/>
      <c r="BI65" s="8"/>
      <c r="BJ65" s="8"/>
      <c r="BK65" s="8"/>
      <c r="BL65" s="8"/>
      <c r="BM65" s="8"/>
      <c r="BN65" s="8"/>
      <c r="BO65" s="8"/>
      <c r="BP65" s="8"/>
      <c r="BQ65" s="8"/>
      <c r="BR65" s="8"/>
      <c r="BS65" s="8"/>
      <c r="BT65" s="8"/>
      <c r="BU65" s="8"/>
      <c r="BV65" s="8"/>
      <c r="BW65" s="8"/>
      <c r="BX65" s="8"/>
      <c r="BY65" s="8"/>
      <c r="BZ65" s="8"/>
      <c r="CA65" s="8"/>
      <c r="CB65" s="8"/>
      <c r="CC65" s="8"/>
      <c r="CD65" s="8"/>
      <c r="CE65" s="8"/>
      <c r="CF65" s="8"/>
      <c r="CG65" s="8"/>
      <c r="CH65" s="8"/>
      <c r="CI65" s="8"/>
      <c r="CJ65" s="8"/>
      <c r="CK65" s="8"/>
      <c r="CL65" s="8"/>
      <c r="CM65" s="8"/>
      <c r="CN65" s="8"/>
      <c r="CO65" s="8"/>
      <c r="CP65" s="8"/>
      <c r="CQ65" s="8"/>
      <c r="CR65" s="8"/>
      <c r="CS65" s="8"/>
      <c r="CT65" s="8"/>
      <c r="CU65" s="8"/>
      <c r="CV65" s="8"/>
      <c r="CW65" s="8"/>
      <c r="CX65" s="8"/>
      <c r="CY65" s="8"/>
      <c r="CZ65" s="8"/>
      <c r="DA65" s="8"/>
      <c r="DB65" s="8"/>
      <c r="DC65" s="8"/>
      <c r="DD65" s="8"/>
      <c r="DE65" s="8"/>
      <c r="DF65" s="8"/>
      <c r="DG65" s="8"/>
      <c r="DH65" s="8"/>
      <c r="DI65" s="8"/>
      <c r="DJ65" s="8"/>
      <c r="DK65" s="8"/>
      <c r="DL65" s="8"/>
      <c r="DM65" s="8"/>
      <c r="DN65" s="8"/>
      <c r="DO65" s="8"/>
      <c r="DP65" s="8"/>
      <c r="DQ65" s="8"/>
      <c r="DR65" s="8"/>
      <c r="DS65" s="8"/>
      <c r="DT65" s="8"/>
      <c r="DU65" s="8"/>
      <c r="DV65" s="8"/>
      <c r="DW65" s="8"/>
      <c r="DX65" s="8"/>
      <c r="DY65" s="8"/>
      <c r="DZ65" s="8"/>
      <c r="EA65" s="8"/>
      <c r="EB65" s="8"/>
      <c r="EC65" s="8"/>
      <c r="ED65" s="8"/>
      <c r="EE65" s="8"/>
      <c r="EF65" s="8"/>
      <c r="EG65" s="8"/>
      <c r="EH65" s="8"/>
      <c r="EI65" s="8"/>
      <c r="EJ65" s="8"/>
      <c r="EK65" s="8"/>
      <c r="EL65" s="8"/>
      <c r="EM65" s="8"/>
      <c r="EN65" s="8"/>
      <c r="EO65" s="8"/>
      <c r="EP65" s="8"/>
      <c r="EQ65" s="8"/>
      <c r="ER65" s="8"/>
      <c r="ES65" s="8"/>
      <c r="ET65" s="8"/>
      <c r="EU65" s="8"/>
      <c r="EV65" s="8"/>
      <c r="EW65" s="8"/>
      <c r="EX65" s="8"/>
      <c r="EY65" s="8"/>
      <c r="EZ65" s="8"/>
      <c r="FA65" s="8"/>
      <c r="FB65" s="8"/>
      <c r="FC65" s="8"/>
      <c r="FD65" s="8"/>
      <c r="FE65" s="8"/>
      <c r="FF65" s="8"/>
      <c r="FG65" s="8"/>
      <c r="FH65" s="8"/>
      <c r="FI65" s="8"/>
      <c r="FJ65" s="8"/>
      <c r="FK65" s="8"/>
      <c r="FL65" s="8"/>
      <c r="FM65" s="8"/>
      <c r="FN65" s="8"/>
      <c r="FO65" s="8"/>
      <c r="FP65" s="8"/>
      <c r="FQ65" s="8"/>
      <c r="FR65" s="8"/>
      <c r="FS65" s="8"/>
      <c r="FT65" s="8"/>
      <c r="FU65" s="8"/>
      <c r="FV65" s="8"/>
      <c r="FW65" s="8"/>
      <c r="FX65" s="8"/>
      <c r="FY65" s="8"/>
      <c r="FZ65" s="8"/>
      <c r="GA65" s="8"/>
      <c r="GB65" s="8"/>
      <c r="GC65" s="8"/>
      <c r="GD65" s="8"/>
      <c r="GE65" s="8"/>
      <c r="GF65" s="8"/>
      <c r="GG65" s="8"/>
      <c r="GH65" s="8"/>
      <c r="GI65" s="8"/>
      <c r="GJ65" s="8"/>
      <c r="GK65" s="8"/>
      <c r="GL65" s="8"/>
      <c r="GM65" s="8"/>
      <c r="GN65" s="8"/>
      <c r="GO65" s="8"/>
      <c r="GP65" s="8"/>
      <c r="GQ65" s="8"/>
      <c r="GR65" s="8"/>
      <c r="GS65" s="8"/>
      <c r="GT65" s="8"/>
      <c r="GU65" s="8"/>
      <c r="GV65" s="8"/>
      <c r="GW65" s="8"/>
      <c r="GX65" s="8"/>
      <c r="GY65" s="8"/>
      <c r="GZ65" s="8"/>
      <c r="HA65" s="8"/>
      <c r="HB65" s="8"/>
      <c r="HC65" s="8"/>
      <c r="HD65" s="8"/>
      <c r="HE65" s="8"/>
      <c r="HF65" s="8"/>
      <c r="HG65" s="8"/>
      <c r="HH65" s="8"/>
      <c r="HI65" s="8"/>
      <c r="HJ65" s="8"/>
      <c r="HK65" s="8"/>
      <c r="HL65" s="8"/>
      <c r="HM65" s="8"/>
      <c r="HN65" s="8"/>
      <c r="HO65" s="8"/>
      <c r="HP65" s="8"/>
      <c r="HQ65" s="8"/>
      <c r="HR65" s="8"/>
      <c r="HS65" s="8"/>
      <c r="HT65" s="8"/>
      <c r="HU65" s="8"/>
      <c r="HV65" s="8"/>
      <c r="HW65" s="8"/>
      <c r="HX65" s="8"/>
      <c r="HY65" s="8"/>
      <c r="HZ65" s="8"/>
      <c r="IA65" s="8"/>
      <c r="IB65" s="8"/>
      <c r="IC65" s="8"/>
      <c r="ID65" s="8"/>
      <c r="IE65" s="8"/>
      <c r="IF65" s="8"/>
      <c r="IG65" s="8"/>
      <c r="IH65" s="8"/>
      <c r="II65" s="8"/>
      <c r="IJ65" s="8"/>
      <c r="IK65" s="8"/>
      <c r="IL65" s="8"/>
      <c r="IM65" s="8"/>
      <c r="IN65" s="8"/>
      <c r="IO65" s="8"/>
      <c r="IP65" s="8"/>
      <c r="IQ65" s="8"/>
    </row>
    <row r="66" spans="1:251" ht="12">
      <c r="A66" s="49">
        <f t="shared" si="20"/>
        <v>11</v>
      </c>
      <c r="B66" s="145">
        <f t="shared" si="21"/>
        <v>2400</v>
      </c>
      <c r="C66" s="194">
        <f>unfors!E33</f>
        <v>69.3</v>
      </c>
      <c r="D66" s="148">
        <f t="shared" si="22"/>
        <v>69.3</v>
      </c>
      <c r="E66" s="69">
        <f t="shared" si="32"/>
        <v>428.38582111960852</v>
      </c>
      <c r="F66" s="69">
        <f t="shared" si="33"/>
        <v>0.30232558139534876</v>
      </c>
      <c r="G66" s="43">
        <f t="shared" si="34"/>
        <v>7.9625458105756011E-3</v>
      </c>
      <c r="H66" s="61">
        <f t="shared" si="35"/>
        <v>409.40159242017614</v>
      </c>
      <c r="I66" s="44">
        <f t="shared" si="23"/>
        <v>0.75554894106374604</v>
      </c>
      <c r="O66" s="8">
        <f t="shared" si="24"/>
        <v>11</v>
      </c>
      <c r="P66" s="8">
        <f t="shared" si="25"/>
        <v>2400</v>
      </c>
      <c r="Q66" s="24">
        <f t="shared" si="36"/>
        <v>69.322099738887843</v>
      </c>
      <c r="R66" s="10">
        <f t="shared" si="26"/>
        <v>428.38582111960852</v>
      </c>
      <c r="S66" s="13">
        <f t="shared" si="37"/>
        <v>0.30005849263169809</v>
      </c>
      <c r="T66" s="13">
        <f t="shared" si="38"/>
        <v>0.33006434189486794</v>
      </c>
      <c r="U66" s="13">
        <f t="shared" si="39"/>
        <v>0.2700526433685283</v>
      </c>
      <c r="V66" s="13">
        <f t="shared" si="27"/>
        <v>471.2244032315694</v>
      </c>
      <c r="W66" s="13">
        <f t="shared" si="28"/>
        <v>385.5472390076477</v>
      </c>
      <c r="X66" s="13">
        <f t="shared" si="29"/>
        <v>7.9028360167371393E-3</v>
      </c>
      <c r="Y66" s="13">
        <f t="shared" si="30"/>
        <v>8.6931196184108529E-3</v>
      </c>
      <c r="Z66" s="13">
        <f t="shared" si="31"/>
        <v>7.1125524150634249E-3</v>
      </c>
      <c r="AA66" s="8">
        <f t="shared" si="40"/>
        <v>409.40159242017614</v>
      </c>
      <c r="AB66" s="8"/>
      <c r="AC66" s="8"/>
      <c r="AD66" s="8"/>
      <c r="AE66" s="8"/>
      <c r="AF66" s="8"/>
      <c r="AG66" s="8"/>
      <c r="AH66" s="8"/>
      <c r="AI66" s="8"/>
      <c r="AJ66" s="8"/>
      <c r="AK66" s="8"/>
      <c r="AL66" s="8"/>
      <c r="AM66" s="8"/>
      <c r="AN66" s="8"/>
      <c r="AO66" s="8"/>
      <c r="AP66" s="8"/>
      <c r="AQ66" s="8"/>
      <c r="AR66" s="8"/>
      <c r="AS66" s="8"/>
      <c r="AT66" s="8"/>
      <c r="AU66" s="8"/>
      <c r="AV66" s="8"/>
      <c r="AW66" s="8"/>
      <c r="AX66" s="8"/>
      <c r="AY66" s="8"/>
      <c r="AZ66" s="8"/>
      <c r="BA66" s="8"/>
      <c r="BB66" s="8"/>
      <c r="BC66" s="8"/>
      <c r="BD66" s="8"/>
      <c r="BE66" s="8"/>
      <c r="BF66" s="8"/>
      <c r="BG66" s="8"/>
      <c r="BH66" s="8"/>
      <c r="BI66" s="8"/>
      <c r="BJ66" s="8"/>
      <c r="BK66" s="8"/>
      <c r="BL66" s="8"/>
      <c r="BM66" s="8"/>
      <c r="BN66" s="8"/>
      <c r="BO66" s="8"/>
      <c r="BP66" s="8"/>
      <c r="BQ66" s="8"/>
      <c r="BR66" s="8"/>
      <c r="BS66" s="8"/>
      <c r="BT66" s="8"/>
      <c r="BU66" s="8"/>
      <c r="BV66" s="8"/>
      <c r="BW66" s="8"/>
      <c r="BX66" s="8"/>
      <c r="BY66" s="8"/>
      <c r="BZ66" s="8"/>
      <c r="CA66" s="8"/>
      <c r="CB66" s="8"/>
      <c r="CC66" s="8"/>
      <c r="CD66" s="8"/>
      <c r="CE66" s="8"/>
      <c r="CF66" s="8"/>
      <c r="CG66" s="8"/>
      <c r="CH66" s="8"/>
      <c r="CI66" s="8"/>
      <c r="CJ66" s="8"/>
      <c r="CK66" s="8"/>
      <c r="CL66" s="8"/>
      <c r="CM66" s="8"/>
      <c r="CN66" s="8"/>
      <c r="CO66" s="8"/>
      <c r="CP66" s="8"/>
      <c r="CQ66" s="8"/>
      <c r="CR66" s="8"/>
      <c r="CS66" s="8"/>
      <c r="CT66" s="8"/>
      <c r="CU66" s="8"/>
      <c r="CV66" s="8"/>
      <c r="CW66" s="8"/>
      <c r="CX66" s="8"/>
      <c r="CY66" s="8"/>
      <c r="CZ66" s="8"/>
      <c r="DA66" s="8"/>
      <c r="DB66" s="8"/>
      <c r="DC66" s="8"/>
      <c r="DD66" s="8"/>
      <c r="DE66" s="8"/>
      <c r="DF66" s="8"/>
      <c r="DG66" s="8"/>
      <c r="DH66" s="8"/>
      <c r="DI66" s="8"/>
      <c r="DJ66" s="8"/>
      <c r="DK66" s="8"/>
      <c r="DL66" s="8"/>
      <c r="DM66" s="8"/>
      <c r="DN66" s="8"/>
      <c r="DO66" s="8"/>
      <c r="DP66" s="8"/>
      <c r="DQ66" s="8"/>
      <c r="DR66" s="8"/>
      <c r="DS66" s="8"/>
      <c r="DT66" s="8"/>
      <c r="DU66" s="8"/>
      <c r="DV66" s="8"/>
      <c r="DW66" s="8"/>
      <c r="DX66" s="8"/>
      <c r="DY66" s="8"/>
      <c r="DZ66" s="8"/>
      <c r="EA66" s="8"/>
      <c r="EB66" s="8"/>
      <c r="EC66" s="8"/>
      <c r="ED66" s="8"/>
      <c r="EE66" s="8"/>
      <c r="EF66" s="8"/>
      <c r="EG66" s="8"/>
      <c r="EH66" s="8"/>
      <c r="EI66" s="8"/>
      <c r="EJ66" s="8"/>
      <c r="EK66" s="8"/>
      <c r="EL66" s="8"/>
      <c r="EM66" s="8"/>
      <c r="EN66" s="8"/>
      <c r="EO66" s="8"/>
      <c r="EP66" s="8"/>
      <c r="EQ66" s="8"/>
      <c r="ER66" s="8"/>
      <c r="ES66" s="8"/>
      <c r="ET66" s="8"/>
      <c r="EU66" s="8"/>
      <c r="EV66" s="8"/>
      <c r="EW66" s="8"/>
      <c r="EX66" s="8"/>
      <c r="EY66" s="8"/>
      <c r="EZ66" s="8"/>
      <c r="FA66" s="8"/>
      <c r="FB66" s="8"/>
      <c r="FC66" s="8"/>
      <c r="FD66" s="8"/>
      <c r="FE66" s="8"/>
      <c r="FF66" s="8"/>
      <c r="FG66" s="8"/>
      <c r="FH66" s="8"/>
      <c r="FI66" s="8"/>
      <c r="FJ66" s="8"/>
      <c r="FK66" s="8"/>
      <c r="FL66" s="8"/>
      <c r="FM66" s="8"/>
      <c r="FN66" s="8"/>
      <c r="FO66" s="8"/>
      <c r="FP66" s="8"/>
      <c r="FQ66" s="8"/>
      <c r="FR66" s="8"/>
      <c r="FS66" s="8"/>
      <c r="FT66" s="8"/>
      <c r="FU66" s="8"/>
      <c r="FV66" s="8"/>
      <c r="FW66" s="8"/>
      <c r="FX66" s="8"/>
      <c r="FY66" s="8"/>
      <c r="FZ66" s="8"/>
      <c r="GA66" s="8"/>
      <c r="GB66" s="8"/>
      <c r="GC66" s="8"/>
      <c r="GD66" s="8"/>
      <c r="GE66" s="8"/>
      <c r="GF66" s="8"/>
      <c r="GG66" s="8"/>
      <c r="GH66" s="8"/>
      <c r="GI66" s="8"/>
      <c r="GJ66" s="8"/>
      <c r="GK66" s="8"/>
      <c r="GL66" s="8"/>
      <c r="GM66" s="8"/>
      <c r="GN66" s="8"/>
      <c r="GO66" s="8"/>
      <c r="GP66" s="8"/>
      <c r="GQ66" s="8"/>
      <c r="GR66" s="8"/>
      <c r="GS66" s="8"/>
      <c r="GT66" s="8"/>
      <c r="GU66" s="8"/>
      <c r="GV66" s="8"/>
      <c r="GW66" s="8"/>
      <c r="GX66" s="8"/>
      <c r="GY66" s="8"/>
      <c r="GZ66" s="8"/>
      <c r="HA66" s="8"/>
      <c r="HB66" s="8"/>
      <c r="HC66" s="8"/>
      <c r="HD66" s="8"/>
      <c r="HE66" s="8"/>
      <c r="HF66" s="8"/>
      <c r="HG66" s="8"/>
      <c r="HH66" s="8"/>
      <c r="HI66" s="8"/>
      <c r="HJ66" s="8"/>
      <c r="HK66" s="8"/>
      <c r="HL66" s="8"/>
      <c r="HM66" s="8"/>
      <c r="HN66" s="8"/>
      <c r="HO66" s="8"/>
      <c r="HP66" s="8"/>
      <c r="HQ66" s="8"/>
      <c r="HR66" s="8"/>
      <c r="HS66" s="8"/>
      <c r="HT66" s="8"/>
      <c r="HU66" s="8"/>
      <c r="HV66" s="8"/>
      <c r="HW66" s="8"/>
      <c r="HX66" s="8"/>
      <c r="HY66" s="8"/>
      <c r="HZ66" s="8"/>
      <c r="IA66" s="8"/>
      <c r="IB66" s="8"/>
      <c r="IC66" s="8"/>
      <c r="ID66" s="8"/>
      <c r="IE66" s="8"/>
      <c r="IF66" s="8"/>
      <c r="IG66" s="8"/>
      <c r="IH66" s="8"/>
      <c r="II66" s="8"/>
      <c r="IJ66" s="8"/>
      <c r="IK66" s="8"/>
      <c r="IL66" s="8"/>
      <c r="IM66" s="8"/>
      <c r="IN66" s="8"/>
      <c r="IO66" s="8"/>
      <c r="IP66" s="8"/>
      <c r="IQ66" s="8"/>
    </row>
    <row r="67" spans="1:251" ht="12">
      <c r="A67" s="49">
        <f t="shared" si="20"/>
        <v>12</v>
      </c>
      <c r="B67" s="145">
        <f t="shared" si="21"/>
        <v>2640</v>
      </c>
      <c r="C67" s="194">
        <f>unfors!E34</f>
        <v>92.6</v>
      </c>
      <c r="D67" s="148">
        <f t="shared" si="22"/>
        <v>92.6</v>
      </c>
      <c r="E67" s="69">
        <f t="shared" si="32"/>
        <v>466.35427851847328</v>
      </c>
      <c r="F67" s="69">
        <f t="shared" si="33"/>
        <v>0.28783199505867818</v>
      </c>
      <c r="G67" s="43">
        <f t="shared" si="34"/>
        <v>7.580818784259701E-3</v>
      </c>
      <c r="H67" s="61">
        <f t="shared" si="35"/>
        <v>447.3700498190409</v>
      </c>
      <c r="I67" s="44">
        <f t="shared" si="23"/>
        <v>0.43098354456143007</v>
      </c>
      <c r="O67" s="8">
        <f t="shared" si="24"/>
        <v>12</v>
      </c>
      <c r="P67" s="8">
        <f t="shared" si="25"/>
        <v>2640</v>
      </c>
      <c r="Q67" s="24">
        <f t="shared" si="36"/>
        <v>92.747461814835887</v>
      </c>
      <c r="R67" s="10">
        <f t="shared" si="26"/>
        <v>466.35427851847328</v>
      </c>
      <c r="S67" s="13">
        <f t="shared" si="37"/>
        <v>0.28907787312280564</v>
      </c>
      <c r="T67" s="13">
        <f t="shared" si="38"/>
        <v>0.31798566043508625</v>
      </c>
      <c r="U67" s="13">
        <f t="shared" si="39"/>
        <v>0.26017008581052509</v>
      </c>
      <c r="V67" s="13">
        <f t="shared" si="27"/>
        <v>512.98970637032062</v>
      </c>
      <c r="W67" s="13">
        <f t="shared" si="28"/>
        <v>419.71885066662594</v>
      </c>
      <c r="X67" s="13">
        <f t="shared" si="29"/>
        <v>7.613632286558183E-3</v>
      </c>
      <c r="Y67" s="13">
        <f t="shared" si="30"/>
        <v>8.3749955152140031E-3</v>
      </c>
      <c r="Z67" s="13">
        <f t="shared" si="31"/>
        <v>6.8522690579023646E-3</v>
      </c>
      <c r="AA67" s="8">
        <f t="shared" si="40"/>
        <v>447.3700498190409</v>
      </c>
      <c r="AB67" s="8"/>
      <c r="AC67" s="8"/>
      <c r="AD67" s="8"/>
      <c r="AE67" s="8"/>
      <c r="AF67" s="8"/>
      <c r="AG67" s="8"/>
      <c r="AH67" s="8"/>
      <c r="AI67" s="8"/>
      <c r="AJ67" s="8"/>
      <c r="AK67" s="8"/>
      <c r="AL67" s="8"/>
      <c r="AM67" s="8"/>
      <c r="AN67" s="8"/>
      <c r="AO67" s="8"/>
      <c r="AP67" s="8"/>
      <c r="AQ67" s="8"/>
      <c r="AR67" s="8"/>
      <c r="AS67" s="8"/>
      <c r="AT67" s="8"/>
      <c r="AU67" s="8"/>
      <c r="AV67" s="8"/>
      <c r="AW67" s="8"/>
      <c r="AX67" s="8"/>
      <c r="AY67" s="8"/>
      <c r="AZ67" s="8"/>
      <c r="BA67" s="8"/>
      <c r="BB67" s="8"/>
      <c r="BC67" s="8"/>
      <c r="BD67" s="8"/>
      <c r="BE67" s="8"/>
      <c r="BF67" s="8"/>
      <c r="BG67" s="8"/>
      <c r="BH67" s="8"/>
      <c r="BI67" s="8"/>
      <c r="BJ67" s="8"/>
      <c r="BK67" s="8"/>
      <c r="BL67" s="8"/>
      <c r="BM67" s="8"/>
      <c r="BN67" s="8"/>
      <c r="BO67" s="8"/>
      <c r="BP67" s="8"/>
      <c r="BQ67" s="8"/>
      <c r="BR67" s="8"/>
      <c r="BS67" s="8"/>
      <c r="BT67" s="8"/>
      <c r="BU67" s="8"/>
      <c r="BV67" s="8"/>
      <c r="BW67" s="8"/>
      <c r="BX67" s="8"/>
      <c r="BY67" s="8"/>
      <c r="BZ67" s="8"/>
      <c r="CA67" s="8"/>
      <c r="CB67" s="8"/>
      <c r="CC67" s="8"/>
      <c r="CD67" s="8"/>
      <c r="CE67" s="8"/>
      <c r="CF67" s="8"/>
      <c r="CG67" s="8"/>
      <c r="CH67" s="8"/>
      <c r="CI67" s="8"/>
      <c r="CJ67" s="8"/>
      <c r="CK67" s="8"/>
      <c r="CL67" s="8"/>
      <c r="CM67" s="8"/>
      <c r="CN67" s="8"/>
      <c r="CO67" s="8"/>
      <c r="CP67" s="8"/>
      <c r="CQ67" s="8"/>
      <c r="CR67" s="8"/>
      <c r="CS67" s="8"/>
      <c r="CT67" s="8"/>
      <c r="CU67" s="8"/>
      <c r="CV67" s="8"/>
      <c r="CW67" s="8"/>
      <c r="CX67" s="8"/>
      <c r="CY67" s="8"/>
      <c r="CZ67" s="8"/>
      <c r="DA67" s="8"/>
      <c r="DB67" s="8"/>
      <c r="DC67" s="8"/>
      <c r="DD67" s="8"/>
      <c r="DE67" s="8"/>
      <c r="DF67" s="8"/>
      <c r="DG67" s="8"/>
      <c r="DH67" s="8"/>
      <c r="DI67" s="8"/>
      <c r="DJ67" s="8"/>
      <c r="DK67" s="8"/>
      <c r="DL67" s="8"/>
      <c r="DM67" s="8"/>
      <c r="DN67" s="8"/>
      <c r="DO67" s="8"/>
      <c r="DP67" s="8"/>
      <c r="DQ67" s="8"/>
      <c r="DR67" s="8"/>
      <c r="DS67" s="8"/>
      <c r="DT67" s="8"/>
      <c r="DU67" s="8"/>
      <c r="DV67" s="8"/>
      <c r="DW67" s="8"/>
      <c r="DX67" s="8"/>
      <c r="DY67" s="8"/>
      <c r="DZ67" s="8"/>
      <c r="EA67" s="8"/>
      <c r="EB67" s="8"/>
      <c r="EC67" s="8"/>
      <c r="ED67" s="8"/>
      <c r="EE67" s="8"/>
      <c r="EF67" s="8"/>
      <c r="EG67" s="8"/>
      <c r="EH67" s="8"/>
      <c r="EI67" s="8"/>
      <c r="EJ67" s="8"/>
      <c r="EK67" s="8"/>
      <c r="EL67" s="8"/>
      <c r="EM67" s="8"/>
      <c r="EN67" s="8"/>
      <c r="EO67" s="8"/>
      <c r="EP67" s="8"/>
      <c r="EQ67" s="8"/>
      <c r="ER67" s="8"/>
      <c r="ES67" s="8"/>
      <c r="ET67" s="8"/>
      <c r="EU67" s="8"/>
      <c r="EV67" s="8"/>
      <c r="EW67" s="8"/>
      <c r="EX67" s="8"/>
      <c r="EY67" s="8"/>
      <c r="EZ67" s="8"/>
      <c r="FA67" s="8"/>
      <c r="FB67" s="8"/>
      <c r="FC67" s="8"/>
      <c r="FD67" s="8"/>
      <c r="FE67" s="8"/>
      <c r="FF67" s="8"/>
      <c r="FG67" s="8"/>
      <c r="FH67" s="8"/>
      <c r="FI67" s="8"/>
      <c r="FJ67" s="8"/>
      <c r="FK67" s="8"/>
      <c r="FL67" s="8"/>
      <c r="FM67" s="8"/>
      <c r="FN67" s="8"/>
      <c r="FO67" s="8"/>
      <c r="FP67" s="8"/>
      <c r="FQ67" s="8"/>
      <c r="FR67" s="8"/>
      <c r="FS67" s="8"/>
      <c r="FT67" s="8"/>
      <c r="FU67" s="8"/>
      <c r="FV67" s="8"/>
      <c r="FW67" s="8"/>
      <c r="FX67" s="8"/>
      <c r="FY67" s="8"/>
      <c r="FZ67" s="8"/>
      <c r="GA67" s="8"/>
      <c r="GB67" s="8"/>
      <c r="GC67" s="8"/>
      <c r="GD67" s="8"/>
      <c r="GE67" s="8"/>
      <c r="GF67" s="8"/>
      <c r="GG67" s="8"/>
      <c r="GH67" s="8"/>
      <c r="GI67" s="8"/>
      <c r="GJ67" s="8"/>
      <c r="GK67" s="8"/>
      <c r="GL67" s="8"/>
      <c r="GM67" s="8"/>
      <c r="GN67" s="8"/>
      <c r="GO67" s="8"/>
      <c r="GP67" s="8"/>
      <c r="GQ67" s="8"/>
      <c r="GR67" s="8"/>
      <c r="GS67" s="8"/>
      <c r="GT67" s="8"/>
      <c r="GU67" s="8"/>
      <c r="GV67" s="8"/>
      <c r="GW67" s="8"/>
      <c r="GX67" s="8"/>
      <c r="GY67" s="8"/>
      <c r="GZ67" s="8"/>
      <c r="HA67" s="8"/>
      <c r="HB67" s="8"/>
      <c r="HC67" s="8"/>
      <c r="HD67" s="8"/>
      <c r="HE67" s="8"/>
      <c r="HF67" s="8"/>
      <c r="HG67" s="8"/>
      <c r="HH67" s="8"/>
      <c r="HI67" s="8"/>
      <c r="HJ67" s="8"/>
      <c r="HK67" s="8"/>
      <c r="HL67" s="8"/>
      <c r="HM67" s="8"/>
      <c r="HN67" s="8"/>
      <c r="HO67" s="8"/>
      <c r="HP67" s="8"/>
      <c r="HQ67" s="8"/>
      <c r="HR67" s="8"/>
      <c r="HS67" s="8"/>
      <c r="HT67" s="8"/>
      <c r="HU67" s="8"/>
      <c r="HV67" s="8"/>
      <c r="HW67" s="8"/>
      <c r="HX67" s="8"/>
      <c r="HY67" s="8"/>
      <c r="HZ67" s="8"/>
      <c r="IA67" s="8"/>
      <c r="IB67" s="8"/>
      <c r="IC67" s="8"/>
      <c r="ID67" s="8"/>
      <c r="IE67" s="8"/>
      <c r="IF67" s="8"/>
      <c r="IG67" s="8"/>
      <c r="IH67" s="8"/>
      <c r="II67" s="8"/>
      <c r="IJ67" s="8"/>
      <c r="IK67" s="8"/>
      <c r="IL67" s="8"/>
      <c r="IM67" s="8"/>
      <c r="IN67" s="8"/>
      <c r="IO67" s="8"/>
      <c r="IP67" s="8"/>
      <c r="IQ67" s="8"/>
    </row>
    <row r="68" spans="1:251" ht="12">
      <c r="A68" s="49">
        <f t="shared" si="20"/>
        <v>13</v>
      </c>
      <c r="B68" s="145">
        <f t="shared" si="21"/>
        <v>2880</v>
      </c>
      <c r="C68" s="194">
        <f>unfors!E35</f>
        <v>123</v>
      </c>
      <c r="D68" s="148">
        <f t="shared" si="22"/>
        <v>123</v>
      </c>
      <c r="E68" s="69">
        <f t="shared" si="32"/>
        <v>504.32273591733804</v>
      </c>
      <c r="F68" s="69">
        <f t="shared" si="33"/>
        <v>0.28200371057513923</v>
      </c>
      <c r="G68" s="43">
        <f t="shared" si="34"/>
        <v>7.4273154585303494E-3</v>
      </c>
      <c r="H68" s="61">
        <f t="shared" si="35"/>
        <v>485.33850721790566</v>
      </c>
      <c r="I68" s="44">
        <f t="shared" si="23"/>
        <v>0.64059278435516975</v>
      </c>
      <c r="O68" s="8">
        <f t="shared" si="24"/>
        <v>13</v>
      </c>
      <c r="P68" s="8">
        <f t="shared" si="25"/>
        <v>2880</v>
      </c>
      <c r="Q68" s="24">
        <f t="shared" si="36"/>
        <v>122.970486188826</v>
      </c>
      <c r="R68" s="10">
        <f t="shared" si="26"/>
        <v>504.32273591733804</v>
      </c>
      <c r="S68" s="13">
        <f t="shared" si="37"/>
        <v>0.28020871377357132</v>
      </c>
      <c r="T68" s="13">
        <f t="shared" si="38"/>
        <v>0.30822958515092846</v>
      </c>
      <c r="U68" s="13">
        <f t="shared" si="39"/>
        <v>0.25218784239621417</v>
      </c>
      <c r="V68" s="13">
        <f t="shared" si="27"/>
        <v>554.7550095090719</v>
      </c>
      <c r="W68" s="13">
        <f t="shared" si="28"/>
        <v>453.89046232560423</v>
      </c>
      <c r="X68" s="13">
        <f t="shared" si="29"/>
        <v>7.3800394582780558E-3</v>
      </c>
      <c r="Y68" s="13">
        <f t="shared" si="30"/>
        <v>8.1180434041058618E-3</v>
      </c>
      <c r="Z68" s="13">
        <f t="shared" si="31"/>
        <v>6.6420355124502499E-3</v>
      </c>
      <c r="AA68" s="8">
        <f t="shared" si="40"/>
        <v>485.33850721790566</v>
      </c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</row>
    <row r="69" spans="1:251" ht="12">
      <c r="A69" s="49">
        <f t="shared" si="20"/>
        <v>14</v>
      </c>
      <c r="B69" s="145">
        <f t="shared" si="21"/>
        <v>3120</v>
      </c>
      <c r="C69" s="194">
        <f>unfors!E36</f>
        <v>163</v>
      </c>
      <c r="D69" s="148">
        <f t="shared" si="22"/>
        <v>163</v>
      </c>
      <c r="E69" s="69">
        <f t="shared" si="32"/>
        <v>542.29119331620268</v>
      </c>
      <c r="F69" s="69">
        <f t="shared" si="33"/>
        <v>0.27972027972027974</v>
      </c>
      <c r="G69" s="43">
        <f t="shared" si="34"/>
        <v>7.3671752523884236E-3</v>
      </c>
      <c r="H69" s="61">
        <f t="shared" si="35"/>
        <v>523.3069646167703</v>
      </c>
      <c r="I69" s="44">
        <f t="shared" si="23"/>
        <v>2.4616316335187016</v>
      </c>
      <c r="O69" s="8">
        <f t="shared" si="24"/>
        <v>14</v>
      </c>
      <c r="P69" s="8">
        <f t="shared" si="25"/>
        <v>3120</v>
      </c>
      <c r="Q69" s="24">
        <f t="shared" si="36"/>
        <v>161.84824676137094</v>
      </c>
      <c r="R69" s="10">
        <f t="shared" si="26"/>
        <v>542.29119331620268</v>
      </c>
      <c r="S69" s="13">
        <f t="shared" si="37"/>
        <v>0.27300002475148333</v>
      </c>
      <c r="T69" s="13">
        <f t="shared" si="38"/>
        <v>0.30030002722663168</v>
      </c>
      <c r="U69" s="13">
        <f t="shared" si="39"/>
        <v>0.245700022276335</v>
      </c>
      <c r="V69" s="13">
        <f t="shared" si="27"/>
        <v>596.52031264782295</v>
      </c>
      <c r="W69" s="13">
        <f t="shared" si="28"/>
        <v>488.06207398458241</v>
      </c>
      <c r="X69" s="13">
        <f t="shared" si="29"/>
        <v>7.1901795188457343E-3</v>
      </c>
      <c r="Y69" s="13">
        <f t="shared" si="30"/>
        <v>7.9091974707303087E-3</v>
      </c>
      <c r="Z69" s="13">
        <f t="shared" si="31"/>
        <v>6.4711615669611608E-3</v>
      </c>
      <c r="AA69" s="8">
        <f t="shared" si="40"/>
        <v>523.3069646167703</v>
      </c>
      <c r="AB69" s="8"/>
      <c r="AC69" s="8"/>
      <c r="AD69" s="8"/>
      <c r="AE69" s="8"/>
      <c r="AF69" s="8"/>
      <c r="AG69" s="8"/>
      <c r="AH69" s="8"/>
      <c r="AI69" s="8"/>
      <c r="AJ69" s="8"/>
      <c r="AK69" s="8"/>
      <c r="AL69" s="8"/>
      <c r="AM69" s="8"/>
      <c r="AN69" s="8"/>
      <c r="AO69" s="8"/>
      <c r="AP69" s="8"/>
      <c r="AQ69" s="8"/>
      <c r="AR69" s="8"/>
      <c r="AS69" s="8"/>
      <c r="AT69" s="8"/>
      <c r="AU69" s="8"/>
      <c r="AV69" s="8"/>
      <c r="AW69" s="8"/>
      <c r="AX69" s="8"/>
      <c r="AY69" s="8"/>
      <c r="AZ69" s="8"/>
      <c r="BA69" s="8"/>
      <c r="BB69" s="8"/>
      <c r="BC69" s="8"/>
      <c r="BD69" s="8"/>
      <c r="BE69" s="8"/>
      <c r="BF69" s="8"/>
      <c r="BG69" s="8"/>
      <c r="BH69" s="8"/>
      <c r="BI69" s="8"/>
      <c r="BJ69" s="8"/>
      <c r="BK69" s="8"/>
      <c r="BL69" s="8"/>
      <c r="BM69" s="8"/>
      <c r="BN69" s="8"/>
      <c r="BO69" s="8"/>
      <c r="BP69" s="8"/>
      <c r="BQ69" s="8"/>
      <c r="BR69" s="8"/>
      <c r="BS69" s="8"/>
      <c r="BT69" s="8"/>
      <c r="BU69" s="8"/>
      <c r="BV69" s="8"/>
      <c r="BW69" s="8"/>
      <c r="BX69" s="8"/>
      <c r="BY69" s="8"/>
      <c r="BZ69" s="8"/>
      <c r="CA69" s="8"/>
      <c r="CB69" s="8"/>
      <c r="CC69" s="8"/>
      <c r="CD69" s="8"/>
      <c r="CE69" s="8"/>
      <c r="CF69" s="8"/>
      <c r="CG69" s="8"/>
      <c r="CH69" s="8"/>
      <c r="CI69" s="8"/>
      <c r="CJ69" s="8"/>
      <c r="CK69" s="8"/>
      <c r="CL69" s="8"/>
      <c r="CM69" s="8"/>
      <c r="CN69" s="8"/>
      <c r="CO69" s="8"/>
      <c r="CP69" s="8"/>
      <c r="CQ69" s="8"/>
      <c r="CR69" s="8"/>
      <c r="CS69" s="8"/>
      <c r="CT69" s="8"/>
      <c r="CU69" s="8"/>
      <c r="CV69" s="8"/>
      <c r="CW69" s="8"/>
      <c r="CX69" s="8"/>
      <c r="CY69" s="8"/>
      <c r="CZ69" s="8"/>
      <c r="DA69" s="8"/>
      <c r="DB69" s="8"/>
      <c r="DC69" s="8"/>
      <c r="DD69" s="8"/>
      <c r="DE69" s="8"/>
      <c r="DF69" s="8"/>
      <c r="DG69" s="8"/>
      <c r="DH69" s="8"/>
      <c r="DI69" s="8"/>
      <c r="DJ69" s="8"/>
      <c r="DK69" s="8"/>
      <c r="DL69" s="8"/>
      <c r="DM69" s="8"/>
      <c r="DN69" s="8"/>
      <c r="DO69" s="8"/>
      <c r="DP69" s="8"/>
      <c r="DQ69" s="8"/>
      <c r="DR69" s="8"/>
      <c r="DS69" s="8"/>
      <c r="DT69" s="8"/>
      <c r="DU69" s="8"/>
      <c r="DV69" s="8"/>
      <c r="DW69" s="8"/>
      <c r="DX69" s="8"/>
      <c r="DY69" s="8"/>
      <c r="DZ69" s="8"/>
      <c r="EA69" s="8"/>
      <c r="EB69" s="8"/>
      <c r="EC69" s="8"/>
      <c r="ED69" s="8"/>
      <c r="EE69" s="8"/>
      <c r="EF69" s="8"/>
      <c r="EG69" s="8"/>
      <c r="EH69" s="8"/>
      <c r="EI69" s="8"/>
      <c r="EJ69" s="8"/>
      <c r="EK69" s="8"/>
      <c r="EL69" s="8"/>
      <c r="EM69" s="8"/>
      <c r="EN69" s="8"/>
      <c r="EO69" s="8"/>
      <c r="EP69" s="8"/>
      <c r="EQ69" s="8"/>
      <c r="ER69" s="8"/>
      <c r="ES69" s="8"/>
      <c r="ET69" s="8"/>
      <c r="EU69" s="8"/>
      <c r="EV69" s="8"/>
      <c r="EW69" s="8"/>
      <c r="EX69" s="8"/>
      <c r="EY69" s="8"/>
      <c r="EZ69" s="8"/>
      <c r="FA69" s="8"/>
      <c r="FB69" s="8"/>
      <c r="FC69" s="8"/>
      <c r="FD69" s="8"/>
      <c r="FE69" s="8"/>
      <c r="FF69" s="8"/>
      <c r="FG69" s="8"/>
      <c r="FH69" s="8"/>
      <c r="FI69" s="8"/>
      <c r="FJ69" s="8"/>
      <c r="FK69" s="8"/>
      <c r="FL69" s="8"/>
      <c r="FM69" s="8"/>
      <c r="FN69" s="8"/>
      <c r="FO69" s="8"/>
      <c r="FP69" s="8"/>
      <c r="FQ69" s="8"/>
      <c r="FR69" s="8"/>
      <c r="FS69" s="8"/>
      <c r="FT69" s="8"/>
      <c r="FU69" s="8"/>
      <c r="FV69" s="8"/>
      <c r="FW69" s="8"/>
      <c r="FX69" s="8"/>
      <c r="FY69" s="8"/>
      <c r="FZ69" s="8"/>
      <c r="GA69" s="8"/>
      <c r="GB69" s="8"/>
      <c r="GC69" s="8"/>
      <c r="GD69" s="8"/>
      <c r="GE69" s="8"/>
      <c r="GF69" s="8"/>
      <c r="GG69" s="8"/>
      <c r="GH69" s="8"/>
      <c r="GI69" s="8"/>
      <c r="GJ69" s="8"/>
      <c r="GK69" s="8"/>
      <c r="GL69" s="8"/>
      <c r="GM69" s="8"/>
      <c r="GN69" s="8"/>
      <c r="GO69" s="8"/>
      <c r="GP69" s="8"/>
      <c r="GQ69" s="8"/>
      <c r="GR69" s="8"/>
      <c r="GS69" s="8"/>
      <c r="GT69" s="8"/>
      <c r="GU69" s="8"/>
      <c r="GV69" s="8"/>
      <c r="GW69" s="8"/>
      <c r="GX69" s="8"/>
      <c r="GY69" s="8"/>
      <c r="GZ69" s="8"/>
      <c r="HA69" s="8"/>
      <c r="HB69" s="8"/>
      <c r="HC69" s="8"/>
      <c r="HD69" s="8"/>
      <c r="HE69" s="8"/>
      <c r="HF69" s="8"/>
      <c r="HG69" s="8"/>
      <c r="HH69" s="8"/>
      <c r="HI69" s="8"/>
      <c r="HJ69" s="8"/>
      <c r="HK69" s="8"/>
      <c r="HL69" s="8"/>
      <c r="HM69" s="8"/>
      <c r="HN69" s="8"/>
      <c r="HO69" s="8"/>
      <c r="HP69" s="8"/>
      <c r="HQ69" s="8"/>
      <c r="HR69" s="8"/>
      <c r="HS69" s="8"/>
      <c r="HT69" s="8"/>
      <c r="HU69" s="8"/>
      <c r="HV69" s="8"/>
      <c r="HW69" s="8"/>
      <c r="HX69" s="8"/>
      <c r="HY69" s="8"/>
      <c r="HZ69" s="8"/>
      <c r="IA69" s="8"/>
      <c r="IB69" s="8"/>
      <c r="IC69" s="8"/>
      <c r="ID69" s="8"/>
      <c r="IE69" s="8"/>
      <c r="IF69" s="8"/>
      <c r="IG69" s="8"/>
      <c r="IH69" s="8"/>
      <c r="II69" s="8"/>
      <c r="IJ69" s="8"/>
      <c r="IK69" s="8"/>
      <c r="IL69" s="8"/>
      <c r="IM69" s="8"/>
      <c r="IN69" s="8"/>
      <c r="IO69" s="8"/>
      <c r="IP69" s="8"/>
      <c r="IQ69" s="8"/>
    </row>
    <row r="70" spans="1:251" ht="12">
      <c r="A70" s="49">
        <f t="shared" si="20"/>
        <v>15</v>
      </c>
      <c r="B70" s="145">
        <f t="shared" si="21"/>
        <v>3360</v>
      </c>
      <c r="C70" s="194">
        <f>unfors!E37</f>
        <v>215</v>
      </c>
      <c r="D70" s="148">
        <f t="shared" si="22"/>
        <v>215</v>
      </c>
      <c r="E70" s="69">
        <f t="shared" si="32"/>
        <v>580.25965071506755</v>
      </c>
      <c r="F70" s="69">
        <f t="shared" si="33"/>
        <v>0.27513227513227512</v>
      </c>
      <c r="G70" s="43">
        <f t="shared" si="34"/>
        <v>7.2463379863439131E-3</v>
      </c>
      <c r="H70" s="61">
        <f t="shared" si="35"/>
        <v>561.27542201563506</v>
      </c>
      <c r="I70" s="44">
        <f t="shared" si="23"/>
        <v>3.0002120501228648</v>
      </c>
      <c r="O70" s="8">
        <f t="shared" si="24"/>
        <v>15</v>
      </c>
      <c r="P70" s="8">
        <f t="shared" si="25"/>
        <v>3360</v>
      </c>
      <c r="Q70" s="24">
        <f t="shared" si="36"/>
        <v>211.74502054583255</v>
      </c>
      <c r="R70" s="10">
        <f t="shared" si="26"/>
        <v>580.25965071506755</v>
      </c>
      <c r="S70" s="13">
        <f t="shared" si="37"/>
        <v>0.26711816379405884</v>
      </c>
      <c r="T70" s="13">
        <f t="shared" si="38"/>
        <v>0.29382998017346473</v>
      </c>
      <c r="U70" s="13">
        <f t="shared" si="39"/>
        <v>0.24040634741465297</v>
      </c>
      <c r="V70" s="13">
        <f t="shared" si="27"/>
        <v>638.28561578657434</v>
      </c>
      <c r="W70" s="13">
        <f t="shared" si="28"/>
        <v>522.23368564356076</v>
      </c>
      <c r="X70" s="13">
        <f t="shared" si="29"/>
        <v>7.0352651146170812E-3</v>
      </c>
      <c r="Y70" s="13">
        <f t="shared" si="30"/>
        <v>7.7387916260787896E-3</v>
      </c>
      <c r="Z70" s="13">
        <f t="shared" si="31"/>
        <v>6.3317386031553737E-3</v>
      </c>
      <c r="AA70" s="8">
        <f t="shared" si="40"/>
        <v>561.27542201563506</v>
      </c>
      <c r="AB70" s="8"/>
      <c r="AC70" s="8"/>
      <c r="AD70" s="8"/>
      <c r="AE70" s="8"/>
      <c r="AF70" s="8"/>
      <c r="AG70" s="8"/>
      <c r="AH70" s="8"/>
      <c r="AI70" s="8"/>
      <c r="AJ70" s="8"/>
      <c r="AK70" s="8"/>
      <c r="AL70" s="8"/>
      <c r="AM70" s="8"/>
      <c r="AN70" s="8"/>
      <c r="AO70" s="8"/>
      <c r="AP70" s="8"/>
      <c r="AQ70" s="8"/>
      <c r="AR70" s="8"/>
      <c r="AS70" s="8"/>
      <c r="AT70" s="8"/>
      <c r="AU70" s="8"/>
      <c r="AV70" s="8"/>
      <c r="AW70" s="8"/>
      <c r="AX70" s="8"/>
      <c r="AY70" s="8"/>
      <c r="AZ70" s="8"/>
      <c r="BA70" s="8"/>
      <c r="BB70" s="8"/>
      <c r="BC70" s="8"/>
      <c r="BD70" s="8"/>
      <c r="BE70" s="8"/>
      <c r="BF70" s="8"/>
      <c r="BG70" s="8"/>
      <c r="BH70" s="8"/>
      <c r="BI70" s="8"/>
      <c r="BJ70" s="8"/>
      <c r="BK70" s="8"/>
      <c r="BL70" s="8"/>
      <c r="BM70" s="8"/>
      <c r="BN70" s="8"/>
      <c r="BO70" s="8"/>
      <c r="BP70" s="8"/>
      <c r="BQ70" s="8"/>
      <c r="BR70" s="8"/>
      <c r="BS70" s="8"/>
      <c r="BT70" s="8"/>
      <c r="BU70" s="8"/>
      <c r="BV70" s="8"/>
      <c r="BW70" s="8"/>
      <c r="BX70" s="8"/>
      <c r="BY70" s="8"/>
      <c r="BZ70" s="8"/>
      <c r="CA70" s="8"/>
      <c r="CB70" s="8"/>
      <c r="CC70" s="8"/>
      <c r="CD70" s="8"/>
      <c r="CE70" s="8"/>
      <c r="CF70" s="8"/>
      <c r="CG70" s="8"/>
      <c r="CH70" s="8"/>
      <c r="CI70" s="8"/>
      <c r="CJ70" s="8"/>
      <c r="CK70" s="8"/>
      <c r="CL70" s="8"/>
      <c r="CM70" s="8"/>
      <c r="CN70" s="8"/>
      <c r="CO70" s="8"/>
      <c r="CP70" s="8"/>
      <c r="CQ70" s="8"/>
      <c r="CR70" s="8"/>
      <c r="CS70" s="8"/>
      <c r="CT70" s="8"/>
      <c r="CU70" s="8"/>
      <c r="CV70" s="8"/>
      <c r="CW70" s="8"/>
      <c r="CX70" s="8"/>
      <c r="CY70" s="8"/>
      <c r="CZ70" s="8"/>
      <c r="DA70" s="8"/>
      <c r="DB70" s="8"/>
      <c r="DC70" s="8"/>
      <c r="DD70" s="8"/>
      <c r="DE70" s="8"/>
      <c r="DF70" s="8"/>
      <c r="DG70" s="8"/>
      <c r="DH70" s="8"/>
      <c r="DI70" s="8"/>
      <c r="DJ70" s="8"/>
      <c r="DK70" s="8"/>
      <c r="DL70" s="8"/>
      <c r="DM70" s="8"/>
      <c r="DN70" s="8"/>
      <c r="DO70" s="8"/>
      <c r="DP70" s="8"/>
      <c r="DQ70" s="8"/>
      <c r="DR70" s="8"/>
      <c r="DS70" s="8"/>
      <c r="DT70" s="8"/>
      <c r="DU70" s="8"/>
      <c r="DV70" s="8"/>
      <c r="DW70" s="8"/>
      <c r="DX70" s="8"/>
      <c r="DY70" s="8"/>
      <c r="DZ70" s="8"/>
      <c r="EA70" s="8"/>
      <c r="EB70" s="8"/>
      <c r="EC70" s="8"/>
      <c r="ED70" s="8"/>
      <c r="EE70" s="8"/>
      <c r="EF70" s="8"/>
      <c r="EG70" s="8"/>
      <c r="EH70" s="8"/>
      <c r="EI70" s="8"/>
      <c r="EJ70" s="8"/>
      <c r="EK70" s="8"/>
      <c r="EL70" s="8"/>
      <c r="EM70" s="8"/>
      <c r="EN70" s="8"/>
      <c r="EO70" s="8"/>
      <c r="EP70" s="8"/>
      <c r="EQ70" s="8"/>
      <c r="ER70" s="8"/>
      <c r="ES70" s="8"/>
      <c r="ET70" s="8"/>
      <c r="EU70" s="8"/>
      <c r="EV70" s="8"/>
      <c r="EW70" s="8"/>
      <c r="EX70" s="8"/>
      <c r="EY70" s="8"/>
      <c r="EZ70" s="8"/>
      <c r="FA70" s="8"/>
      <c r="FB70" s="8"/>
      <c r="FC70" s="8"/>
      <c r="FD70" s="8"/>
      <c r="FE70" s="8"/>
      <c r="FF70" s="8"/>
      <c r="FG70" s="8"/>
      <c r="FH70" s="8"/>
      <c r="FI70" s="8"/>
      <c r="FJ70" s="8"/>
      <c r="FK70" s="8"/>
      <c r="FL70" s="8"/>
      <c r="FM70" s="8"/>
      <c r="FN70" s="8"/>
      <c r="FO70" s="8"/>
      <c r="FP70" s="8"/>
      <c r="FQ70" s="8"/>
      <c r="FR70" s="8"/>
      <c r="FS70" s="8"/>
      <c r="FT70" s="8"/>
      <c r="FU70" s="8"/>
      <c r="FV70" s="8"/>
      <c r="FW70" s="8"/>
      <c r="FX70" s="8"/>
      <c r="FY70" s="8"/>
      <c r="FZ70" s="8"/>
      <c r="GA70" s="8"/>
      <c r="GB70" s="8"/>
      <c r="GC70" s="8"/>
      <c r="GD70" s="8"/>
      <c r="GE70" s="8"/>
      <c r="GF70" s="8"/>
      <c r="GG70" s="8"/>
      <c r="GH70" s="8"/>
      <c r="GI70" s="8"/>
      <c r="GJ70" s="8"/>
      <c r="GK70" s="8"/>
      <c r="GL70" s="8"/>
      <c r="GM70" s="8"/>
      <c r="GN70" s="8"/>
      <c r="GO70" s="8"/>
      <c r="GP70" s="8"/>
      <c r="GQ70" s="8"/>
      <c r="GR70" s="8"/>
      <c r="GS70" s="8"/>
      <c r="GT70" s="8"/>
      <c r="GU70" s="8"/>
      <c r="GV70" s="8"/>
      <c r="GW70" s="8"/>
      <c r="GX70" s="8"/>
      <c r="GY70" s="8"/>
      <c r="GZ70" s="8"/>
      <c r="HA70" s="8"/>
      <c r="HB70" s="8"/>
      <c r="HC70" s="8"/>
      <c r="HD70" s="8"/>
      <c r="HE70" s="8"/>
      <c r="HF70" s="8"/>
      <c r="HG70" s="8"/>
      <c r="HH70" s="8"/>
      <c r="HI70" s="8"/>
      <c r="HJ70" s="8"/>
      <c r="HK70" s="8"/>
      <c r="HL70" s="8"/>
      <c r="HM70" s="8"/>
      <c r="HN70" s="8"/>
      <c r="HO70" s="8"/>
      <c r="HP70" s="8"/>
      <c r="HQ70" s="8"/>
      <c r="HR70" s="8"/>
      <c r="HS70" s="8"/>
      <c r="HT70" s="8"/>
      <c r="HU70" s="8"/>
      <c r="HV70" s="8"/>
      <c r="HW70" s="8"/>
      <c r="HX70" s="8"/>
      <c r="HY70" s="8"/>
      <c r="HZ70" s="8"/>
      <c r="IA70" s="8"/>
      <c r="IB70" s="8"/>
      <c r="IC70" s="8"/>
      <c r="ID70" s="8"/>
      <c r="IE70" s="8"/>
      <c r="IF70" s="8"/>
      <c r="IG70" s="8"/>
      <c r="IH70" s="8"/>
      <c r="II70" s="8"/>
      <c r="IJ70" s="8"/>
      <c r="IK70" s="8"/>
      <c r="IL70" s="8"/>
      <c r="IM70" s="8"/>
      <c r="IN70" s="8"/>
      <c r="IO70" s="8"/>
      <c r="IP70" s="8"/>
      <c r="IQ70" s="8"/>
    </row>
    <row r="71" spans="1:251" ht="12">
      <c r="A71" s="49">
        <f t="shared" si="20"/>
        <v>16</v>
      </c>
      <c r="B71" s="145">
        <f t="shared" si="21"/>
        <v>3600</v>
      </c>
      <c r="C71" s="194">
        <f>unfors!E38</f>
        <v>281</v>
      </c>
      <c r="D71" s="148">
        <f t="shared" si="22"/>
        <v>281</v>
      </c>
      <c r="E71" s="69">
        <f t="shared" si="32"/>
        <v>618.22810811393219</v>
      </c>
      <c r="F71" s="69">
        <f t="shared" si="33"/>
        <v>0.2661290322580645</v>
      </c>
      <c r="G71" s="43">
        <f t="shared" si="34"/>
        <v>7.0092137129074529E-3</v>
      </c>
      <c r="H71" s="61">
        <f t="shared" si="35"/>
        <v>599.24387941449982</v>
      </c>
      <c r="I71" s="44">
        <f t="shared" si="23"/>
        <v>1.4554279244100696</v>
      </c>
      <c r="O71" s="8">
        <f t="shared" si="24"/>
        <v>16</v>
      </c>
      <c r="P71" s="8">
        <f t="shared" si="25"/>
        <v>3600</v>
      </c>
      <c r="Q71" s="24">
        <f t="shared" si="36"/>
        <v>275.67258926108076</v>
      </c>
      <c r="R71" s="10">
        <f t="shared" si="26"/>
        <v>618.22810811393219</v>
      </c>
      <c r="S71" s="13">
        <f t="shared" si="37"/>
        <v>0.26231128063088494</v>
      </c>
      <c r="T71" s="13">
        <f t="shared" si="38"/>
        <v>0.28854240869397346</v>
      </c>
      <c r="U71" s="13">
        <f t="shared" si="39"/>
        <v>0.23608015256779644</v>
      </c>
      <c r="V71" s="13">
        <f t="shared" si="27"/>
        <v>680.0509189253255</v>
      </c>
      <c r="W71" s="13">
        <f t="shared" si="28"/>
        <v>556.405297302539</v>
      </c>
      <c r="X71" s="13">
        <f t="shared" si="29"/>
        <v>6.9086631009330586E-3</v>
      </c>
      <c r="Y71" s="13">
        <f t="shared" si="30"/>
        <v>7.5995294110263656E-3</v>
      </c>
      <c r="Z71" s="13">
        <f t="shared" si="31"/>
        <v>6.2177967908397525E-3</v>
      </c>
      <c r="AA71" s="8">
        <f t="shared" si="40"/>
        <v>599.24387941449982</v>
      </c>
      <c r="AB71" s="8"/>
      <c r="AC71" s="8"/>
      <c r="AD71" s="8"/>
      <c r="AE71" s="8"/>
      <c r="AF71" s="8"/>
      <c r="AG71" s="8"/>
      <c r="AH71" s="8"/>
      <c r="AI71" s="8"/>
      <c r="AJ71" s="8"/>
      <c r="AK71" s="8"/>
      <c r="AL71" s="8"/>
      <c r="AM71" s="8"/>
      <c r="AN71" s="8"/>
      <c r="AO71" s="8"/>
      <c r="AP71" s="8"/>
      <c r="AQ71" s="8"/>
      <c r="AR71" s="8"/>
      <c r="AS71" s="8"/>
      <c r="AT71" s="8"/>
      <c r="AU71" s="8"/>
      <c r="AV71" s="8"/>
      <c r="AW71" s="8"/>
      <c r="AX71" s="8"/>
      <c r="AY71" s="8"/>
      <c r="AZ71" s="8"/>
      <c r="BA71" s="8"/>
      <c r="BB71" s="8"/>
      <c r="BC71" s="8"/>
      <c r="BD71" s="8"/>
      <c r="BE71" s="8"/>
      <c r="BF71" s="8"/>
      <c r="BG71" s="8"/>
      <c r="BH71" s="8"/>
      <c r="BI71" s="8"/>
      <c r="BJ71" s="8"/>
      <c r="BK71" s="8"/>
      <c r="BL71" s="8"/>
      <c r="BM71" s="8"/>
      <c r="BN71" s="8"/>
      <c r="BO71" s="8"/>
      <c r="BP71" s="8"/>
      <c r="BQ71" s="8"/>
      <c r="BR71" s="8"/>
      <c r="BS71" s="8"/>
      <c r="BT71" s="8"/>
      <c r="BU71" s="8"/>
      <c r="BV71" s="8"/>
      <c r="BW71" s="8"/>
      <c r="BX71" s="8"/>
      <c r="BY71" s="8"/>
      <c r="BZ71" s="8"/>
      <c r="CA71" s="8"/>
      <c r="CB71" s="8"/>
      <c r="CC71" s="8"/>
      <c r="CD71" s="8"/>
      <c r="CE71" s="8"/>
      <c r="CF71" s="8"/>
      <c r="CG71" s="8"/>
      <c r="CH71" s="8"/>
      <c r="CI71" s="8"/>
      <c r="CJ71" s="8"/>
      <c r="CK71" s="8"/>
      <c r="CL71" s="8"/>
      <c r="CM71" s="8"/>
      <c r="CN71" s="8"/>
      <c r="CO71" s="8"/>
      <c r="CP71" s="8"/>
      <c r="CQ71" s="8"/>
      <c r="CR71" s="8"/>
      <c r="CS71" s="8"/>
      <c r="CT71" s="8"/>
      <c r="CU71" s="8"/>
      <c r="CV71" s="8"/>
      <c r="CW71" s="8"/>
      <c r="CX71" s="8"/>
      <c r="CY71" s="8"/>
      <c r="CZ71" s="8"/>
      <c r="DA71" s="8"/>
      <c r="DB71" s="8"/>
      <c r="DC71" s="8"/>
      <c r="DD71" s="8"/>
      <c r="DE71" s="8"/>
      <c r="DF71" s="8"/>
      <c r="DG71" s="8"/>
      <c r="DH71" s="8"/>
      <c r="DI71" s="8"/>
      <c r="DJ71" s="8"/>
      <c r="DK71" s="8"/>
      <c r="DL71" s="8"/>
      <c r="DM71" s="8"/>
      <c r="DN71" s="8"/>
      <c r="DO71" s="8"/>
      <c r="DP71" s="8"/>
      <c r="DQ71" s="8"/>
      <c r="DR71" s="8"/>
      <c r="DS71" s="8"/>
      <c r="DT71" s="8"/>
      <c r="DU71" s="8"/>
      <c r="DV71" s="8"/>
      <c r="DW71" s="8"/>
      <c r="DX71" s="8"/>
      <c r="DY71" s="8"/>
      <c r="DZ71" s="8"/>
      <c r="EA71" s="8"/>
      <c r="EB71" s="8"/>
      <c r="EC71" s="8"/>
      <c r="ED71" s="8"/>
      <c r="EE71" s="8"/>
      <c r="EF71" s="8"/>
      <c r="EG71" s="8"/>
      <c r="EH71" s="8"/>
      <c r="EI71" s="8"/>
      <c r="EJ71" s="8"/>
      <c r="EK71" s="8"/>
      <c r="EL71" s="8"/>
      <c r="EM71" s="8"/>
      <c r="EN71" s="8"/>
      <c r="EO71" s="8"/>
      <c r="EP71" s="8"/>
      <c r="EQ71" s="8"/>
      <c r="ER71" s="8"/>
      <c r="ES71" s="8"/>
      <c r="ET71" s="8"/>
      <c r="EU71" s="8"/>
      <c r="EV71" s="8"/>
      <c r="EW71" s="8"/>
      <c r="EX71" s="8"/>
      <c r="EY71" s="8"/>
      <c r="EZ71" s="8"/>
      <c r="FA71" s="8"/>
      <c r="FB71" s="8"/>
      <c r="FC71" s="8"/>
      <c r="FD71" s="8"/>
      <c r="FE71" s="8"/>
      <c r="FF71" s="8"/>
      <c r="FG71" s="8"/>
      <c r="FH71" s="8"/>
      <c r="FI71" s="8"/>
      <c r="FJ71" s="8"/>
      <c r="FK71" s="8"/>
      <c r="FL71" s="8"/>
      <c r="FM71" s="8"/>
      <c r="FN71" s="8"/>
      <c r="FO71" s="8"/>
      <c r="FP71" s="8"/>
      <c r="FQ71" s="8"/>
      <c r="FR71" s="8"/>
      <c r="FS71" s="8"/>
      <c r="FT71" s="8"/>
      <c r="FU71" s="8"/>
      <c r="FV71" s="8"/>
      <c r="FW71" s="8"/>
      <c r="FX71" s="8"/>
      <c r="FY71" s="8"/>
      <c r="FZ71" s="8"/>
      <c r="GA71" s="8"/>
      <c r="GB71" s="8"/>
      <c r="GC71" s="8"/>
      <c r="GD71" s="8"/>
      <c r="GE71" s="8"/>
      <c r="GF71" s="8"/>
      <c r="GG71" s="8"/>
      <c r="GH71" s="8"/>
      <c r="GI71" s="8"/>
      <c r="GJ71" s="8"/>
      <c r="GK71" s="8"/>
      <c r="GL71" s="8"/>
      <c r="GM71" s="8"/>
      <c r="GN71" s="8"/>
      <c r="GO71" s="8"/>
      <c r="GP71" s="8"/>
      <c r="GQ71" s="8"/>
      <c r="GR71" s="8"/>
      <c r="GS71" s="8"/>
      <c r="GT71" s="8"/>
      <c r="GU71" s="8"/>
      <c r="GV71" s="8"/>
      <c r="GW71" s="8"/>
      <c r="GX71" s="8"/>
      <c r="GY71" s="8"/>
      <c r="GZ71" s="8"/>
      <c r="HA71" s="8"/>
      <c r="HB71" s="8"/>
      <c r="HC71" s="8"/>
      <c r="HD71" s="8"/>
      <c r="HE71" s="8"/>
      <c r="HF71" s="8"/>
      <c r="HG71" s="8"/>
      <c r="HH71" s="8"/>
      <c r="HI71" s="8"/>
      <c r="HJ71" s="8"/>
      <c r="HK71" s="8"/>
      <c r="HL71" s="8"/>
      <c r="HM71" s="8"/>
      <c r="HN71" s="8"/>
      <c r="HO71" s="8"/>
      <c r="HP71" s="8"/>
      <c r="HQ71" s="8"/>
      <c r="HR71" s="8"/>
      <c r="HS71" s="8"/>
      <c r="HT71" s="8"/>
      <c r="HU71" s="8"/>
      <c r="HV71" s="8"/>
      <c r="HW71" s="8"/>
      <c r="HX71" s="8"/>
      <c r="HY71" s="8"/>
      <c r="HZ71" s="8"/>
      <c r="IA71" s="8"/>
      <c r="IB71" s="8"/>
      <c r="IC71" s="8"/>
      <c r="ID71" s="8"/>
      <c r="IE71" s="8"/>
      <c r="IF71" s="8"/>
      <c r="IG71" s="8"/>
      <c r="IH71" s="8"/>
      <c r="II71" s="8"/>
      <c r="IJ71" s="8"/>
      <c r="IK71" s="8"/>
      <c r="IL71" s="8"/>
      <c r="IM71" s="8"/>
      <c r="IN71" s="8"/>
      <c r="IO71" s="8"/>
      <c r="IP71" s="8"/>
      <c r="IQ71" s="8"/>
    </row>
    <row r="72" spans="1:251" ht="12">
      <c r="A72" s="49">
        <f t="shared" si="20"/>
        <v>17</v>
      </c>
      <c r="B72" s="145">
        <f t="shared" si="21"/>
        <v>3840</v>
      </c>
      <c r="C72" s="194">
        <f>unfors!E39</f>
        <v>361</v>
      </c>
      <c r="D72" s="148">
        <f t="shared" si="22"/>
        <v>361</v>
      </c>
      <c r="E72" s="69">
        <f t="shared" si="32"/>
        <v>656.19656551279695</v>
      </c>
      <c r="F72" s="69">
        <f t="shared" si="33"/>
        <v>0.24922118380062305</v>
      </c>
      <c r="G72" s="43">
        <f t="shared" si="34"/>
        <v>6.5639006921591365E-3</v>
      </c>
      <c r="H72" s="61">
        <f t="shared" si="35"/>
        <v>637.21233681336457</v>
      </c>
      <c r="I72" s="44">
        <f t="shared" si="23"/>
        <v>3.5469009102244424</v>
      </c>
      <c r="O72" s="8">
        <f t="shared" si="24"/>
        <v>17</v>
      </c>
      <c r="P72" s="8">
        <f t="shared" si="25"/>
        <v>3840</v>
      </c>
      <c r="Q72" s="24">
        <f t="shared" si="36"/>
        <v>357.47016093458234</v>
      </c>
      <c r="R72" s="10">
        <f t="shared" si="26"/>
        <v>656.19656551279695</v>
      </c>
      <c r="S72" s="13">
        <f t="shared" si="37"/>
        <v>0.25838587474380237</v>
      </c>
      <c r="T72" s="13">
        <f t="shared" si="38"/>
        <v>0.28422446221818265</v>
      </c>
      <c r="U72" s="13">
        <f t="shared" si="39"/>
        <v>0.23254728726942214</v>
      </c>
      <c r="V72" s="13">
        <f t="shared" si="27"/>
        <v>721.81622206407667</v>
      </c>
      <c r="W72" s="13">
        <f t="shared" si="28"/>
        <v>590.57690896151723</v>
      </c>
      <c r="X72" s="13">
        <f t="shared" si="29"/>
        <v>6.8052771285758906E-3</v>
      </c>
      <c r="Y72" s="13">
        <f t="shared" si="30"/>
        <v>7.4858048414334806E-3</v>
      </c>
      <c r="Z72" s="13">
        <f t="shared" si="31"/>
        <v>6.1247494157183014E-3</v>
      </c>
      <c r="AA72" s="8">
        <f t="shared" si="40"/>
        <v>637.21233681336457</v>
      </c>
      <c r="AB72" s="8"/>
      <c r="AC72" s="8"/>
      <c r="AD72" s="8"/>
      <c r="AE72" s="8"/>
      <c r="AF72" s="8"/>
      <c r="AG72" s="8"/>
      <c r="AH72" s="8"/>
      <c r="AI72" s="8"/>
      <c r="AJ72" s="8"/>
      <c r="AK72" s="8"/>
      <c r="AL72" s="8"/>
      <c r="AM72" s="8"/>
      <c r="AN72" s="8"/>
      <c r="AO72" s="8"/>
      <c r="AP72" s="8"/>
      <c r="AQ72" s="8"/>
      <c r="AR72" s="8"/>
      <c r="AS72" s="8"/>
      <c r="AT72" s="8"/>
      <c r="AU72" s="8"/>
      <c r="AV72" s="8"/>
      <c r="AW72" s="8"/>
      <c r="AX72" s="8"/>
      <c r="AY72" s="8"/>
      <c r="AZ72" s="8"/>
      <c r="BA72" s="8"/>
      <c r="BB72" s="8"/>
      <c r="BC72" s="8"/>
      <c r="BD72" s="8"/>
      <c r="BE72" s="8"/>
      <c r="BF72" s="8"/>
      <c r="BG72" s="8"/>
      <c r="BH72" s="8"/>
      <c r="BI72" s="8"/>
      <c r="BJ72" s="8"/>
      <c r="BK72" s="8"/>
      <c r="BL72" s="8"/>
      <c r="BM72" s="8"/>
      <c r="BN72" s="8"/>
      <c r="BO72" s="8"/>
      <c r="BP72" s="8"/>
      <c r="BQ72" s="8"/>
      <c r="BR72" s="8"/>
      <c r="BS72" s="8"/>
      <c r="BT72" s="8"/>
      <c r="BU72" s="8"/>
      <c r="BV72" s="8"/>
      <c r="BW72" s="8"/>
      <c r="BX72" s="8"/>
      <c r="BY72" s="8"/>
      <c r="BZ72" s="8"/>
      <c r="CA72" s="8"/>
      <c r="CB72" s="8"/>
      <c r="CC72" s="8"/>
      <c r="CD72" s="8"/>
      <c r="CE72" s="8"/>
      <c r="CF72" s="8"/>
      <c r="CG72" s="8"/>
      <c r="CH72" s="8"/>
      <c r="CI72" s="8"/>
      <c r="CJ72" s="8"/>
      <c r="CK72" s="8"/>
      <c r="CL72" s="8"/>
      <c r="CM72" s="8"/>
      <c r="CN72" s="8"/>
      <c r="CO72" s="8"/>
      <c r="CP72" s="8"/>
      <c r="CQ72" s="8"/>
      <c r="CR72" s="8"/>
      <c r="CS72" s="8"/>
      <c r="CT72" s="8"/>
      <c r="CU72" s="8"/>
      <c r="CV72" s="8"/>
      <c r="CW72" s="8"/>
      <c r="CX72" s="8"/>
      <c r="CY72" s="8"/>
      <c r="CZ72" s="8"/>
      <c r="DA72" s="8"/>
      <c r="DB72" s="8"/>
      <c r="DC72" s="8"/>
      <c r="DD72" s="8"/>
      <c r="DE72" s="8"/>
      <c r="DF72" s="8"/>
      <c r="DG72" s="8"/>
      <c r="DH72" s="8"/>
      <c r="DI72" s="8"/>
      <c r="DJ72" s="8"/>
      <c r="DK72" s="8"/>
      <c r="DL72" s="8"/>
      <c r="DM72" s="8"/>
      <c r="DN72" s="8"/>
      <c r="DO72" s="8"/>
      <c r="DP72" s="8"/>
      <c r="DQ72" s="8"/>
      <c r="DR72" s="8"/>
      <c r="DS72" s="8"/>
      <c r="DT72" s="8"/>
      <c r="DU72" s="8"/>
      <c r="DV72" s="8"/>
      <c r="DW72" s="8"/>
      <c r="DX72" s="8"/>
      <c r="DY72" s="8"/>
      <c r="DZ72" s="8"/>
      <c r="EA72" s="8"/>
      <c r="EB72" s="8"/>
      <c r="EC72" s="8"/>
      <c r="ED72" s="8"/>
      <c r="EE72" s="8"/>
      <c r="EF72" s="8"/>
      <c r="EG72" s="8"/>
      <c r="EH72" s="8"/>
      <c r="EI72" s="8"/>
      <c r="EJ72" s="8"/>
      <c r="EK72" s="8"/>
      <c r="EL72" s="8"/>
      <c r="EM72" s="8"/>
      <c r="EN72" s="8"/>
      <c r="EO72" s="8"/>
      <c r="EP72" s="8"/>
      <c r="EQ72" s="8"/>
      <c r="ER72" s="8"/>
      <c r="ES72" s="8"/>
      <c r="ET72" s="8"/>
      <c r="EU72" s="8"/>
      <c r="EV72" s="8"/>
      <c r="EW72" s="8"/>
      <c r="EX72" s="8"/>
      <c r="EY72" s="8"/>
      <c r="EZ72" s="8"/>
      <c r="FA72" s="8"/>
      <c r="FB72" s="8"/>
      <c r="FC72" s="8"/>
      <c r="FD72" s="8"/>
      <c r="FE72" s="8"/>
      <c r="FF72" s="8"/>
      <c r="FG72" s="8"/>
      <c r="FH72" s="8"/>
      <c r="FI72" s="8"/>
      <c r="FJ72" s="8"/>
      <c r="FK72" s="8"/>
      <c r="FL72" s="8"/>
      <c r="FM72" s="8"/>
      <c r="FN72" s="8"/>
      <c r="FO72" s="8"/>
      <c r="FP72" s="8"/>
      <c r="FQ72" s="8"/>
      <c r="FR72" s="8"/>
      <c r="FS72" s="8"/>
      <c r="FT72" s="8"/>
      <c r="FU72" s="8"/>
      <c r="FV72" s="8"/>
      <c r="FW72" s="8"/>
      <c r="FX72" s="8"/>
      <c r="FY72" s="8"/>
      <c r="FZ72" s="8"/>
      <c r="GA72" s="8"/>
      <c r="GB72" s="8"/>
      <c r="GC72" s="8"/>
      <c r="GD72" s="8"/>
      <c r="GE72" s="8"/>
      <c r="GF72" s="8"/>
      <c r="GG72" s="8"/>
      <c r="GH72" s="8"/>
      <c r="GI72" s="8"/>
      <c r="GJ72" s="8"/>
      <c r="GK72" s="8"/>
      <c r="GL72" s="8"/>
      <c r="GM72" s="8"/>
      <c r="GN72" s="8"/>
      <c r="GO72" s="8"/>
      <c r="GP72" s="8"/>
      <c r="GQ72" s="8"/>
      <c r="GR72" s="8"/>
      <c r="GS72" s="8"/>
      <c r="GT72" s="8"/>
      <c r="GU72" s="8"/>
      <c r="GV72" s="8"/>
      <c r="GW72" s="8"/>
      <c r="GX72" s="8"/>
      <c r="GY72" s="8"/>
      <c r="GZ72" s="8"/>
      <c r="HA72" s="8"/>
      <c r="HB72" s="8"/>
      <c r="HC72" s="8"/>
      <c r="HD72" s="8"/>
      <c r="HE72" s="8"/>
      <c r="HF72" s="8"/>
      <c r="HG72" s="8"/>
      <c r="HH72" s="8"/>
      <c r="HI72" s="8"/>
      <c r="HJ72" s="8"/>
      <c r="HK72" s="8"/>
      <c r="HL72" s="8"/>
      <c r="HM72" s="8"/>
      <c r="HN72" s="8"/>
      <c r="HO72" s="8"/>
      <c r="HP72" s="8"/>
      <c r="HQ72" s="8"/>
      <c r="HR72" s="8"/>
      <c r="HS72" s="8"/>
      <c r="HT72" s="8"/>
      <c r="HU72" s="8"/>
      <c r="HV72" s="8"/>
      <c r="HW72" s="8"/>
      <c r="HX72" s="8"/>
      <c r="HY72" s="8"/>
      <c r="HZ72" s="8"/>
      <c r="IA72" s="8"/>
      <c r="IB72" s="8"/>
      <c r="IC72" s="8"/>
      <c r="ID72" s="8"/>
      <c r="IE72" s="8"/>
      <c r="IF72" s="8"/>
      <c r="IG72" s="8"/>
      <c r="IH72" s="8"/>
      <c r="II72" s="8"/>
      <c r="IJ72" s="8"/>
      <c r="IK72" s="8"/>
      <c r="IL72" s="8"/>
      <c r="IM72" s="8"/>
      <c r="IN72" s="8"/>
      <c r="IO72" s="8"/>
      <c r="IP72" s="8"/>
      <c r="IQ72" s="8"/>
    </row>
    <row r="73" spans="1:251" ht="12">
      <c r="A73" s="50">
        <f t="shared" si="20"/>
        <v>18</v>
      </c>
      <c r="B73" s="146">
        <f t="shared" si="21"/>
        <v>4080</v>
      </c>
      <c r="C73" s="197">
        <f>unfors!E40</f>
        <v>462</v>
      </c>
      <c r="D73" s="149">
        <f t="shared" si="22"/>
        <v>462</v>
      </c>
      <c r="E73" s="69">
        <f t="shared" si="32"/>
        <v>694.16502291166171</v>
      </c>
      <c r="F73" s="70">
        <f t="shared" si="33"/>
        <v>0.2454434993924666</v>
      </c>
      <c r="G73" s="45">
        <f t="shared" si="34"/>
        <v>6.4644053566370405E-3</v>
      </c>
      <c r="H73" s="70">
        <f t="shared" si="35"/>
        <v>675.18079421222933</v>
      </c>
      <c r="I73" s="46">
        <f t="shared" si="23"/>
        <v>3.7912878534058136</v>
      </c>
      <c r="O73" s="8">
        <f t="shared" si="24"/>
        <v>18</v>
      </c>
      <c r="P73" s="8">
        <f t="shared" si="25"/>
        <v>4080</v>
      </c>
      <c r="Q73" s="22">
        <f>IF(D73="","",D73)</f>
        <v>462</v>
      </c>
      <c r="R73" s="13">
        <f>IF(D73="","",(71.498068+94.593053*LOG(Q73,10)+41.912053*POWER(LOG(Q73,10),2)+9.8247004*POWER(LOG(Q73,10),3)+0.28175407*POWER(LOG(Q73,10),4)-1.1878455*POWER(LOG(Q73,10),5)-0.18014349*POWER(LOG(Q73,10),6)+0.14710899*POWER(LOG(Q73,10),7)-0.017046845*POWER(LOG(Q73,10),8)))</f>
        <v>694.16502291166171</v>
      </c>
      <c r="S73" s="13">
        <f t="shared" si="37"/>
        <v>0.25511566875407488</v>
      </c>
      <c r="T73" s="13">
        <f t="shared" si="38"/>
        <v>0.28062723562948239</v>
      </c>
      <c r="U73" s="13">
        <f t="shared" si="39"/>
        <v>0.22960410187866739</v>
      </c>
      <c r="V73" s="13">
        <f t="shared" si="27"/>
        <v>763.58152520282795</v>
      </c>
      <c r="W73" s="13">
        <f t="shared" si="28"/>
        <v>624.74852062049558</v>
      </c>
      <c r="X73" s="13">
        <f t="shared" si="29"/>
        <v>6.7191475827959955E-3</v>
      </c>
      <c r="Y73" s="13">
        <f t="shared" si="30"/>
        <v>7.391062341075596E-3</v>
      </c>
      <c r="Z73" s="13">
        <f t="shared" si="31"/>
        <v>6.0472328245163966E-3</v>
      </c>
      <c r="AA73" s="8">
        <f t="shared" si="40"/>
        <v>675.18079421222933</v>
      </c>
      <c r="AB73" s="8"/>
      <c r="AC73" s="8"/>
      <c r="AD73" s="8"/>
      <c r="AE73" s="8"/>
      <c r="AF73" s="8"/>
      <c r="AG73" s="8"/>
      <c r="AH73" s="8"/>
      <c r="AI73" s="8"/>
      <c r="AJ73" s="8"/>
      <c r="AK73" s="8"/>
      <c r="AL73" s="8"/>
      <c r="AM73" s="8"/>
      <c r="AN73" s="8"/>
      <c r="AO73" s="8"/>
      <c r="AP73" s="8"/>
      <c r="AQ73" s="8"/>
      <c r="AR73" s="8"/>
      <c r="AS73" s="8"/>
      <c r="AT73" s="8"/>
      <c r="AU73" s="8"/>
      <c r="AV73" s="8"/>
      <c r="AW73" s="8"/>
      <c r="AX73" s="8"/>
      <c r="AY73" s="8"/>
      <c r="AZ73" s="8"/>
      <c r="BA73" s="8"/>
      <c r="BB73" s="8"/>
      <c r="BC73" s="8"/>
      <c r="BD73" s="8"/>
      <c r="BE73" s="8"/>
      <c r="BF73" s="8"/>
      <c r="BG73" s="8"/>
      <c r="BH73" s="8"/>
      <c r="BI73" s="8"/>
      <c r="BJ73" s="8"/>
      <c r="BK73" s="8"/>
      <c r="BL73" s="8"/>
      <c r="BM73" s="8"/>
      <c r="BN73" s="8"/>
      <c r="BO73" s="8"/>
      <c r="BP73" s="8"/>
      <c r="BQ73" s="8"/>
      <c r="BR73" s="8"/>
      <c r="BS73" s="8"/>
      <c r="BT73" s="8"/>
      <c r="BU73" s="8"/>
      <c r="BV73" s="8"/>
      <c r="BW73" s="8"/>
      <c r="BX73" s="8"/>
      <c r="BY73" s="8"/>
      <c r="BZ73" s="8"/>
      <c r="CA73" s="8"/>
      <c r="CB73" s="8"/>
      <c r="CC73" s="8"/>
      <c r="CD73" s="8"/>
      <c r="CE73" s="8"/>
      <c r="CF73" s="8"/>
      <c r="CG73" s="8"/>
      <c r="CH73" s="8"/>
      <c r="CI73" s="8"/>
      <c r="CJ73" s="8"/>
      <c r="CK73" s="8"/>
      <c r="CL73" s="8"/>
      <c r="CM73" s="8"/>
      <c r="CN73" s="8"/>
      <c r="CO73" s="8"/>
      <c r="CP73" s="8"/>
      <c r="CQ73" s="8"/>
      <c r="CR73" s="8"/>
      <c r="CS73" s="8"/>
      <c r="CT73" s="8"/>
      <c r="CU73" s="8"/>
      <c r="CV73" s="8"/>
      <c r="CW73" s="8"/>
      <c r="CX73" s="8"/>
      <c r="CY73" s="8"/>
      <c r="CZ73" s="8"/>
      <c r="DA73" s="8"/>
      <c r="DB73" s="8"/>
      <c r="DC73" s="8"/>
      <c r="DD73" s="8"/>
      <c r="DE73" s="8"/>
      <c r="DF73" s="8"/>
      <c r="DG73" s="8"/>
      <c r="DH73" s="8"/>
      <c r="DI73" s="8"/>
      <c r="DJ73" s="8"/>
      <c r="DK73" s="8"/>
      <c r="DL73" s="8"/>
      <c r="DM73" s="8"/>
      <c r="DN73" s="8"/>
      <c r="DO73" s="8"/>
      <c r="DP73" s="8"/>
      <c r="DQ73" s="8"/>
      <c r="DR73" s="8"/>
      <c r="DS73" s="8"/>
      <c r="DT73" s="8"/>
      <c r="DU73" s="8"/>
      <c r="DV73" s="8"/>
      <c r="DW73" s="8"/>
      <c r="DX73" s="8"/>
      <c r="DY73" s="8"/>
      <c r="DZ73" s="8"/>
      <c r="EA73" s="8"/>
      <c r="EB73" s="8"/>
      <c r="EC73" s="8"/>
      <c r="ED73" s="8"/>
      <c r="EE73" s="8"/>
      <c r="EF73" s="8"/>
      <c r="EG73" s="8"/>
      <c r="EH73" s="8"/>
      <c r="EI73" s="8"/>
      <c r="EJ73" s="8"/>
      <c r="EK73" s="8"/>
      <c r="EL73" s="8"/>
      <c r="EM73" s="8"/>
      <c r="EN73" s="8"/>
      <c r="EO73" s="8"/>
      <c r="EP73" s="8"/>
      <c r="EQ73" s="8"/>
      <c r="ER73" s="8"/>
      <c r="ES73" s="8"/>
      <c r="ET73" s="8"/>
      <c r="EU73" s="8"/>
      <c r="EV73" s="8"/>
      <c r="EW73" s="8"/>
      <c r="EX73" s="8"/>
      <c r="EY73" s="8"/>
      <c r="EZ73" s="8"/>
      <c r="FA73" s="8"/>
      <c r="FB73" s="8"/>
      <c r="FC73" s="8"/>
      <c r="FD73" s="8"/>
      <c r="FE73" s="8"/>
      <c r="FF73" s="8"/>
      <c r="FG73" s="8"/>
      <c r="FH73" s="8"/>
      <c r="FI73" s="8"/>
      <c r="FJ73" s="8"/>
      <c r="FK73" s="8"/>
      <c r="FL73" s="8"/>
      <c r="FM73" s="8"/>
      <c r="FN73" s="8"/>
      <c r="FO73" s="8"/>
      <c r="FP73" s="8"/>
      <c r="FQ73" s="8"/>
      <c r="FR73" s="8"/>
      <c r="FS73" s="8"/>
      <c r="FT73" s="8"/>
      <c r="FU73" s="8"/>
      <c r="FV73" s="8"/>
      <c r="FW73" s="8"/>
      <c r="FX73" s="8"/>
      <c r="FY73" s="8"/>
      <c r="FZ73" s="8"/>
      <c r="GA73" s="8"/>
      <c r="GB73" s="8"/>
      <c r="GC73" s="8"/>
      <c r="GD73" s="8"/>
      <c r="GE73" s="8"/>
      <c r="GF73" s="8"/>
      <c r="GG73" s="8"/>
      <c r="GH73" s="8"/>
      <c r="GI73" s="8"/>
      <c r="GJ73" s="8"/>
      <c r="GK73" s="8"/>
      <c r="GL73" s="8"/>
      <c r="GM73" s="8"/>
      <c r="GN73" s="8"/>
      <c r="GO73" s="8"/>
      <c r="GP73" s="8"/>
      <c r="GQ73" s="8"/>
      <c r="GR73" s="8"/>
      <c r="GS73" s="8"/>
      <c r="GT73" s="8"/>
      <c r="GU73" s="8"/>
      <c r="GV73" s="8"/>
      <c r="GW73" s="8"/>
      <c r="GX73" s="8"/>
      <c r="GY73" s="8"/>
      <c r="GZ73" s="8"/>
      <c r="HA73" s="8"/>
      <c r="HB73" s="8"/>
      <c r="HC73" s="8"/>
      <c r="HD73" s="8"/>
      <c r="HE73" s="8"/>
      <c r="HF73" s="8"/>
      <c r="HG73" s="8"/>
      <c r="HH73" s="8"/>
      <c r="HI73" s="8"/>
      <c r="HJ73" s="8"/>
      <c r="HK73" s="8"/>
      <c r="HL73" s="8"/>
      <c r="HM73" s="8"/>
      <c r="HN73" s="8"/>
      <c r="HO73" s="8"/>
      <c r="HP73" s="8"/>
      <c r="HQ73" s="8"/>
      <c r="HR73" s="8"/>
      <c r="HS73" s="8"/>
      <c r="HT73" s="8"/>
      <c r="HU73" s="8"/>
      <c r="HV73" s="8"/>
      <c r="HW73" s="8"/>
      <c r="HX73" s="8"/>
      <c r="HY73" s="8"/>
      <c r="HZ73" s="8"/>
      <c r="IA73" s="8"/>
      <c r="IB73" s="8"/>
      <c r="IC73" s="8"/>
      <c r="ID73" s="8"/>
      <c r="IE73" s="8"/>
      <c r="IF73" s="8"/>
      <c r="IG73" s="8"/>
      <c r="IH73" s="8"/>
      <c r="II73" s="8"/>
      <c r="IJ73" s="8"/>
      <c r="IK73" s="8"/>
      <c r="IL73" s="8"/>
      <c r="IM73" s="8"/>
      <c r="IN73" s="8"/>
      <c r="IO73" s="8"/>
      <c r="IP73" s="8"/>
      <c r="IQ73" s="8"/>
    </row>
    <row r="74" spans="1:251" ht="12">
      <c r="A74" s="164" t="s">
        <v>20</v>
      </c>
      <c r="B74" s="165"/>
      <c r="C74" s="163">
        <f>IF(C56="","",C56)</f>
        <v>0.53500000000000003</v>
      </c>
      <c r="D74" s="165"/>
      <c r="E74" s="166" t="s">
        <v>24</v>
      </c>
      <c r="F74" s="167">
        <f>IF(C74="","",C75/C74)</f>
        <v>863.55140186915878</v>
      </c>
      <c r="G74" s="168"/>
      <c r="H74" s="169"/>
      <c r="I74" s="170"/>
      <c r="O74" s="8"/>
      <c r="P74" s="8"/>
      <c r="Q74" s="22"/>
      <c r="R74" s="13"/>
      <c r="S74" s="13"/>
      <c r="T74" s="13"/>
      <c r="U74" s="13"/>
      <c r="V74" s="13"/>
      <c r="W74" s="13"/>
      <c r="X74" s="13"/>
      <c r="Y74" s="13"/>
      <c r="Z74" s="13"/>
      <c r="AA74" s="8"/>
      <c r="AB74" s="8"/>
      <c r="AC74" s="8"/>
      <c r="AD74" s="8"/>
      <c r="AE74" s="8"/>
      <c r="AF74" s="8"/>
      <c r="AG74" s="8"/>
      <c r="AH74" s="8"/>
      <c r="AI74" s="8"/>
      <c r="AJ74" s="8"/>
      <c r="AK74" s="8"/>
      <c r="AL74" s="8"/>
      <c r="AM74" s="8"/>
      <c r="AN74" s="8"/>
      <c r="AO74" s="8"/>
      <c r="AP74" s="8"/>
      <c r="AQ74" s="8"/>
      <c r="AR74" s="8"/>
      <c r="AS74" s="8"/>
      <c r="AT74" s="8"/>
      <c r="AU74" s="8"/>
      <c r="AV74" s="8"/>
      <c r="AW74" s="8"/>
      <c r="AX74" s="8"/>
      <c r="AY74" s="8"/>
      <c r="AZ74" s="8"/>
      <c r="BA74" s="8"/>
      <c r="BB74" s="8"/>
      <c r="BC74" s="8"/>
      <c r="BD74" s="8"/>
      <c r="BE74" s="8"/>
      <c r="BF74" s="8"/>
      <c r="BG74" s="8"/>
      <c r="BH74" s="8"/>
      <c r="BI74" s="8"/>
      <c r="BJ74" s="8"/>
      <c r="BK74" s="8"/>
      <c r="BL74" s="8"/>
      <c r="BM74" s="8"/>
      <c r="BN74" s="8"/>
      <c r="BO74" s="8"/>
      <c r="BP74" s="8"/>
      <c r="BQ74" s="8"/>
      <c r="BR74" s="8"/>
      <c r="BS74" s="8"/>
      <c r="BT74" s="8"/>
      <c r="BU74" s="8"/>
      <c r="BV74" s="8"/>
      <c r="BW74" s="8"/>
      <c r="BX74" s="8"/>
      <c r="BY74" s="8"/>
      <c r="BZ74" s="8"/>
      <c r="CA74" s="8"/>
      <c r="CB74" s="8"/>
      <c r="CC74" s="8"/>
      <c r="CD74" s="8"/>
      <c r="CE74" s="8"/>
      <c r="CF74" s="8"/>
      <c r="CG74" s="8"/>
      <c r="CH74" s="8"/>
      <c r="CI74" s="8"/>
      <c r="CJ74" s="8"/>
      <c r="CK74" s="8"/>
      <c r="CL74" s="8"/>
      <c r="CM74" s="8"/>
      <c r="CN74" s="8"/>
      <c r="CO74" s="8"/>
      <c r="CP74" s="8"/>
      <c r="CQ74" s="8"/>
      <c r="CR74" s="8"/>
      <c r="CS74" s="8"/>
      <c r="CT74" s="8"/>
      <c r="CU74" s="8"/>
      <c r="CV74" s="8"/>
      <c r="CW74" s="8"/>
      <c r="CX74" s="8"/>
      <c r="CY74" s="8"/>
      <c r="CZ74" s="8"/>
      <c r="DA74" s="8"/>
      <c r="DB74" s="8"/>
      <c r="DC74" s="8"/>
      <c r="DD74" s="8"/>
      <c r="DE74" s="8"/>
      <c r="DF74" s="8"/>
      <c r="DG74" s="8"/>
      <c r="DH74" s="8"/>
      <c r="DI74" s="8"/>
      <c r="DJ74" s="8"/>
      <c r="DK74" s="8"/>
      <c r="DL74" s="8"/>
      <c r="DM74" s="8"/>
      <c r="DN74" s="8"/>
      <c r="DO74" s="8"/>
      <c r="DP74" s="8"/>
      <c r="DQ74" s="8"/>
      <c r="DR74" s="8"/>
      <c r="DS74" s="8"/>
      <c r="DT74" s="8"/>
      <c r="DU74" s="8"/>
      <c r="DV74" s="8"/>
      <c r="DW74" s="8"/>
      <c r="DX74" s="8"/>
      <c r="DY74" s="8"/>
      <c r="DZ74" s="8"/>
      <c r="EA74" s="8"/>
      <c r="EB74" s="8"/>
      <c r="EC74" s="8"/>
      <c r="ED74" s="8"/>
      <c r="EE74" s="8"/>
      <c r="EF74" s="8"/>
      <c r="EG74" s="8"/>
      <c r="EH74" s="8"/>
      <c r="EI74" s="8"/>
      <c r="EJ74" s="8"/>
      <c r="EK74" s="8"/>
      <c r="EL74" s="8"/>
      <c r="EM74" s="8"/>
      <c r="EN74" s="8"/>
      <c r="EO74" s="8"/>
      <c r="EP74" s="8"/>
      <c r="EQ74" s="8"/>
      <c r="ER74" s="8"/>
      <c r="ES74" s="8"/>
      <c r="ET74" s="8"/>
      <c r="EU74" s="8"/>
      <c r="EV74" s="8"/>
      <c r="EW74" s="8"/>
      <c r="EX74" s="8"/>
      <c r="EY74" s="8"/>
      <c r="EZ74" s="8"/>
      <c r="FA74" s="8"/>
      <c r="FB74" s="8"/>
      <c r="FC74" s="8"/>
      <c r="FD74" s="8"/>
      <c r="FE74" s="8"/>
      <c r="FF74" s="8"/>
      <c r="FG74" s="8"/>
      <c r="FH74" s="8"/>
      <c r="FI74" s="8"/>
      <c r="FJ74" s="8"/>
      <c r="FK74" s="8"/>
      <c r="FL74" s="8"/>
      <c r="FM74" s="8"/>
      <c r="FN74" s="8"/>
      <c r="FO74" s="8"/>
      <c r="FP74" s="8"/>
      <c r="FQ74" s="8"/>
      <c r="FR74" s="8"/>
      <c r="FS74" s="8"/>
      <c r="FT74" s="8"/>
      <c r="FU74" s="8"/>
      <c r="FV74" s="8"/>
      <c r="FW74" s="8"/>
      <c r="FX74" s="8"/>
      <c r="FY74" s="8"/>
      <c r="FZ74" s="8"/>
      <c r="GA74" s="8"/>
      <c r="GB74" s="8"/>
      <c r="GC74" s="8"/>
      <c r="GD74" s="8"/>
      <c r="GE74" s="8"/>
      <c r="GF74" s="8"/>
      <c r="GG74" s="8"/>
      <c r="GH74" s="8"/>
      <c r="GI74" s="8"/>
      <c r="GJ74" s="8"/>
      <c r="GK74" s="8"/>
      <c r="GL74" s="8"/>
      <c r="GM74" s="8"/>
      <c r="GN74" s="8"/>
      <c r="GO74" s="8"/>
      <c r="GP74" s="8"/>
      <c r="GQ74" s="8"/>
      <c r="GR74" s="8"/>
      <c r="GS74" s="8"/>
      <c r="GT74" s="8"/>
      <c r="GU74" s="8"/>
      <c r="GV74" s="8"/>
      <c r="GW74" s="8"/>
      <c r="GX74" s="8"/>
      <c r="GY74" s="8"/>
      <c r="GZ74" s="8"/>
      <c r="HA74" s="8"/>
      <c r="HB74" s="8"/>
      <c r="HC74" s="8"/>
      <c r="HD74" s="8"/>
      <c r="HE74" s="8"/>
      <c r="HF74" s="8"/>
      <c r="HG74" s="8"/>
      <c r="HH74" s="8"/>
      <c r="HI74" s="8"/>
      <c r="HJ74" s="8"/>
      <c r="HK74" s="8"/>
      <c r="HL74" s="8"/>
      <c r="HM74" s="8"/>
      <c r="HN74" s="8"/>
      <c r="HO74" s="8"/>
      <c r="HP74" s="8"/>
      <c r="HQ74" s="8"/>
      <c r="HR74" s="8"/>
      <c r="HS74" s="8"/>
      <c r="HT74" s="8"/>
      <c r="HU74" s="8"/>
      <c r="HV74" s="8"/>
      <c r="HW74" s="8"/>
      <c r="HX74" s="8"/>
      <c r="HY74" s="8"/>
      <c r="HZ74" s="8"/>
      <c r="IA74" s="8"/>
      <c r="IB74" s="8"/>
      <c r="IC74" s="8"/>
      <c r="ID74" s="8"/>
      <c r="IE74" s="8"/>
      <c r="IF74" s="8"/>
      <c r="IG74" s="8"/>
      <c r="IH74" s="8"/>
      <c r="II74" s="8"/>
      <c r="IJ74" s="8"/>
      <c r="IK74" s="8"/>
      <c r="IL74" s="8"/>
      <c r="IM74" s="8"/>
      <c r="IN74" s="8"/>
      <c r="IO74" s="8"/>
      <c r="IP74" s="8"/>
      <c r="IQ74" s="8"/>
    </row>
    <row r="75" spans="1:251" ht="12">
      <c r="A75" s="73" t="s">
        <v>21</v>
      </c>
      <c r="B75" s="71"/>
      <c r="C75" s="162">
        <f>IF(C56="","",C73)</f>
        <v>462</v>
      </c>
      <c r="D75" s="71"/>
      <c r="E75" s="74" t="s">
        <v>80</v>
      </c>
      <c r="F75" s="75">
        <f>IF(D56="","",D73/D56)</f>
        <v>863.55140186915878</v>
      </c>
      <c r="G75" s="153" t="s">
        <v>81</v>
      </c>
      <c r="H75" s="71"/>
      <c r="I75" s="161">
        <f>F75/F74</f>
        <v>1</v>
      </c>
      <c r="O75" s="8"/>
      <c r="P75" s="8"/>
      <c r="Q75" s="22"/>
      <c r="R75" s="13"/>
      <c r="S75" s="13"/>
      <c r="T75" s="13"/>
      <c r="U75" s="13"/>
      <c r="V75" s="13"/>
      <c r="W75" s="13"/>
      <c r="X75" s="13"/>
      <c r="Y75" s="13"/>
      <c r="Z75" s="13"/>
      <c r="AA75" s="8"/>
      <c r="AB75" s="8"/>
      <c r="AC75" s="8"/>
      <c r="AD75" s="8"/>
      <c r="AE75" s="8"/>
      <c r="AF75" s="8"/>
      <c r="AG75" s="8"/>
      <c r="AH75" s="8"/>
      <c r="AI75" s="8"/>
      <c r="AJ75" s="8"/>
      <c r="AK75" s="8"/>
      <c r="AL75" s="8"/>
      <c r="AM75" s="8"/>
      <c r="AN75" s="8"/>
      <c r="AO75" s="8"/>
      <c r="AP75" s="8"/>
      <c r="AQ75" s="8"/>
      <c r="AR75" s="8"/>
      <c r="AS75" s="8"/>
      <c r="AT75" s="8"/>
      <c r="AU75" s="8"/>
      <c r="AV75" s="8"/>
      <c r="AW75" s="8"/>
      <c r="AX75" s="8"/>
      <c r="AY75" s="8"/>
      <c r="AZ75" s="8"/>
      <c r="BA75" s="8"/>
      <c r="BB75" s="8"/>
      <c r="BC75" s="8"/>
      <c r="BD75" s="8"/>
      <c r="BE75" s="8"/>
      <c r="BF75" s="8"/>
      <c r="BG75" s="8"/>
      <c r="BH75" s="8"/>
      <c r="BI75" s="8"/>
      <c r="BJ75" s="8"/>
      <c r="BK75" s="8"/>
      <c r="BL75" s="8"/>
      <c r="BM75" s="8"/>
      <c r="BN75" s="8"/>
      <c r="BO75" s="8"/>
      <c r="BP75" s="8"/>
      <c r="BQ75" s="8"/>
      <c r="BR75" s="8"/>
      <c r="BS75" s="8"/>
      <c r="BT75" s="8"/>
      <c r="BU75" s="8"/>
      <c r="BV75" s="8"/>
      <c r="BW75" s="8"/>
      <c r="BX75" s="8"/>
      <c r="BY75" s="8"/>
      <c r="BZ75" s="8"/>
      <c r="CA75" s="8"/>
      <c r="CB75" s="8"/>
      <c r="CC75" s="8"/>
      <c r="CD75" s="8"/>
      <c r="CE75" s="8"/>
      <c r="CF75" s="8"/>
      <c r="CG75" s="8"/>
      <c r="CH75" s="8"/>
      <c r="CI75" s="8"/>
      <c r="CJ75" s="8"/>
      <c r="CK75" s="8"/>
      <c r="CL75" s="8"/>
      <c r="CM75" s="8"/>
      <c r="CN75" s="8"/>
      <c r="CO75" s="8"/>
      <c r="CP75" s="8"/>
      <c r="CQ75" s="8"/>
      <c r="CR75" s="8"/>
      <c r="CS75" s="8"/>
      <c r="CT75" s="8"/>
      <c r="CU75" s="8"/>
      <c r="CV75" s="8"/>
      <c r="CW75" s="8"/>
      <c r="CX75" s="8"/>
      <c r="CY75" s="8"/>
      <c r="CZ75" s="8"/>
      <c r="DA75" s="8"/>
      <c r="DB75" s="8"/>
      <c r="DC75" s="8"/>
      <c r="DD75" s="8"/>
      <c r="DE75" s="8"/>
      <c r="DF75" s="8"/>
      <c r="DG75" s="8"/>
      <c r="DH75" s="8"/>
      <c r="DI75" s="8"/>
      <c r="DJ75" s="8"/>
      <c r="DK75" s="8"/>
      <c r="DL75" s="8"/>
      <c r="DM75" s="8"/>
      <c r="DN75" s="8"/>
      <c r="DO75" s="8"/>
      <c r="DP75" s="8"/>
      <c r="DQ75" s="8"/>
      <c r="DR75" s="8"/>
      <c r="DS75" s="8"/>
      <c r="DT75" s="8"/>
      <c r="DU75" s="8"/>
      <c r="DV75" s="8"/>
      <c r="DW75" s="8"/>
      <c r="DX75" s="8"/>
      <c r="DY75" s="8"/>
      <c r="DZ75" s="8"/>
      <c r="EA75" s="8"/>
      <c r="EB75" s="8"/>
      <c r="EC75" s="8"/>
      <c r="ED75" s="8"/>
      <c r="EE75" s="8"/>
      <c r="EF75" s="8"/>
      <c r="EG75" s="8"/>
      <c r="EH75" s="8"/>
      <c r="EI75" s="8"/>
      <c r="EJ75" s="8"/>
      <c r="EK75" s="8"/>
      <c r="EL75" s="8"/>
      <c r="EM75" s="8"/>
      <c r="EN75" s="8"/>
      <c r="EO75" s="8"/>
      <c r="EP75" s="8"/>
      <c r="EQ75" s="8"/>
      <c r="ER75" s="8"/>
      <c r="ES75" s="8"/>
      <c r="ET75" s="8"/>
      <c r="EU75" s="8"/>
      <c r="EV75" s="8"/>
      <c r="EW75" s="8"/>
      <c r="EX75" s="8"/>
      <c r="EY75" s="8"/>
      <c r="EZ75" s="8"/>
      <c r="FA75" s="8"/>
      <c r="FB75" s="8"/>
      <c r="FC75" s="8"/>
      <c r="FD75" s="8"/>
      <c r="FE75" s="8"/>
      <c r="FF75" s="8"/>
      <c r="FG75" s="8"/>
      <c r="FH75" s="8"/>
      <c r="FI75" s="8"/>
      <c r="FJ75" s="8"/>
      <c r="FK75" s="8"/>
      <c r="FL75" s="8"/>
      <c r="FM75" s="8"/>
      <c r="FN75" s="8"/>
      <c r="FO75" s="8"/>
      <c r="FP75" s="8"/>
      <c r="FQ75" s="8"/>
      <c r="FR75" s="8"/>
      <c r="FS75" s="8"/>
      <c r="FT75" s="8"/>
      <c r="FU75" s="8"/>
      <c r="FV75" s="8"/>
      <c r="FW75" s="8"/>
      <c r="FX75" s="8"/>
      <c r="FY75" s="8"/>
      <c r="FZ75" s="8"/>
      <c r="GA75" s="8"/>
      <c r="GB75" s="8"/>
      <c r="GC75" s="8"/>
      <c r="GD75" s="8"/>
      <c r="GE75" s="8"/>
      <c r="GF75" s="8"/>
      <c r="GG75" s="8"/>
      <c r="GH75" s="8"/>
      <c r="GI75" s="8"/>
      <c r="GJ75" s="8"/>
      <c r="GK75" s="8"/>
      <c r="GL75" s="8"/>
      <c r="GM75" s="8"/>
      <c r="GN75" s="8"/>
      <c r="GO75" s="8"/>
      <c r="GP75" s="8"/>
      <c r="GQ75" s="8"/>
      <c r="GR75" s="8"/>
      <c r="GS75" s="8"/>
      <c r="GT75" s="8"/>
      <c r="GU75" s="8"/>
      <c r="GV75" s="8"/>
      <c r="GW75" s="8"/>
      <c r="GX75" s="8"/>
      <c r="GY75" s="8"/>
      <c r="GZ75" s="8"/>
      <c r="HA75" s="8"/>
      <c r="HB75" s="8"/>
      <c r="HC75" s="8"/>
      <c r="HD75" s="8"/>
      <c r="HE75" s="8"/>
      <c r="HF75" s="8"/>
      <c r="HG75" s="8"/>
      <c r="HH75" s="8"/>
      <c r="HI75" s="8"/>
      <c r="HJ75" s="8"/>
      <c r="HK75" s="8"/>
      <c r="HL75" s="8"/>
      <c r="HM75" s="8"/>
      <c r="HN75" s="8"/>
      <c r="HO75" s="8"/>
      <c r="HP75" s="8"/>
      <c r="HQ75" s="8"/>
      <c r="HR75" s="8"/>
      <c r="HS75" s="8"/>
      <c r="HT75" s="8"/>
      <c r="HU75" s="8"/>
      <c r="HV75" s="8"/>
      <c r="HW75" s="8"/>
      <c r="HX75" s="8"/>
      <c r="HY75" s="8"/>
      <c r="HZ75" s="8"/>
      <c r="IA75" s="8"/>
      <c r="IB75" s="8"/>
      <c r="IC75" s="8"/>
      <c r="ID75" s="8"/>
      <c r="IE75" s="8"/>
      <c r="IF75" s="8"/>
      <c r="IG75" s="8"/>
      <c r="IH75" s="8"/>
      <c r="II75" s="8"/>
      <c r="IJ75" s="8"/>
      <c r="IK75" s="8"/>
      <c r="IL75" s="8"/>
      <c r="IM75" s="8"/>
      <c r="IN75" s="8"/>
      <c r="IO75" s="8"/>
      <c r="IP75" s="8"/>
      <c r="IQ75" s="8"/>
    </row>
    <row r="76" spans="1:251">
      <c r="P76" s="15"/>
      <c r="S76" s="25"/>
      <c r="T76" s="11"/>
    </row>
    <row r="77" spans="1:251" ht="12">
      <c r="A77" s="3"/>
      <c r="J77" s="176" t="str">
        <f>QAReport!D8 &amp;", " &amp;QAReport!D9</f>
        <v>, Reporting Monitor X</v>
      </c>
      <c r="Q77" s="25" t="s">
        <v>13</v>
      </c>
      <c r="R77" s="26"/>
      <c r="T77" s="25"/>
      <c r="U77" s="11"/>
    </row>
    <row r="78" spans="1:251" ht="12">
      <c r="J78" s="179">
        <f>QAReport!D10</f>
        <v>45658</v>
      </c>
      <c r="P78" s="12" t="s">
        <v>9</v>
      </c>
      <c r="Q78" s="26">
        <f>IF(D73="","",(R73-R56)/P73)</f>
        <v>0.15820190582860311</v>
      </c>
      <c r="T78" s="25"/>
      <c r="U78" s="11"/>
    </row>
    <row r="79" spans="1:251" ht="3.75" customHeight="1">
      <c r="H79" s="71"/>
      <c r="I79" s="71"/>
      <c r="J79" s="71"/>
      <c r="P79" s="12" t="s">
        <v>10</v>
      </c>
      <c r="Q79" s="25">
        <f>IF(D56="","",R56)</f>
        <v>48.701247130961036</v>
      </c>
      <c r="R79" s="26"/>
      <c r="T79" s="25"/>
      <c r="U79" s="11"/>
    </row>
    <row r="82" spans="1:7" ht="12">
      <c r="A82" s="3" t="s">
        <v>51</v>
      </c>
    </row>
    <row r="83" spans="1:7" ht="12">
      <c r="A83" s="3"/>
    </row>
    <row r="84" spans="1:7" ht="12">
      <c r="A84" s="2" t="s">
        <v>73</v>
      </c>
    </row>
    <row r="85" spans="1:7" ht="12">
      <c r="A85" s="3" t="s">
        <v>52</v>
      </c>
    </row>
    <row r="86" spans="1:7" ht="12">
      <c r="A86" s="77" t="s">
        <v>53</v>
      </c>
      <c r="B86" s="72"/>
      <c r="C86" s="17" t="s">
        <v>54</v>
      </c>
      <c r="D86" s="17" t="s">
        <v>55</v>
      </c>
      <c r="E86" s="17" t="s">
        <v>56</v>
      </c>
      <c r="F86" s="17" t="s">
        <v>57</v>
      </c>
      <c r="G86" s="17" t="s">
        <v>58</v>
      </c>
    </row>
    <row r="87" spans="1:7" ht="12">
      <c r="A87" s="29" t="s">
        <v>59</v>
      </c>
      <c r="B87" s="120"/>
      <c r="C87" s="158">
        <f>unfors!E42</f>
        <v>2.42</v>
      </c>
      <c r="D87" s="158">
        <f>unfors!E43</f>
        <v>2.39</v>
      </c>
      <c r="E87" s="158">
        <f>unfors!E44</f>
        <v>2.58</v>
      </c>
      <c r="F87" s="158">
        <f>unfors!E45</f>
        <v>2.39</v>
      </c>
      <c r="G87" s="158">
        <f>unfors!E46</f>
        <v>2.56</v>
      </c>
    </row>
    <row r="88" spans="1:7" ht="12">
      <c r="A88" s="78" t="s">
        <v>60</v>
      </c>
      <c r="B88" s="72"/>
      <c r="C88" s="72"/>
      <c r="D88" s="79">
        <f>100*($C$87-D87)/$C$87</f>
        <v>1.2396694214875952</v>
      </c>
      <c r="E88" s="79">
        <f>100*($C$87-E87)/$C$87</f>
        <v>-6.6115702479338907</v>
      </c>
      <c r="F88" s="79">
        <f>100*($C$87-F87)/$C$87</f>
        <v>1.2396694214875952</v>
      </c>
      <c r="G88" s="79">
        <f>100*($C$87-G87)/$C$87</f>
        <v>-5.7851239669421544</v>
      </c>
    </row>
    <row r="89" spans="1:7" ht="12">
      <c r="A89" s="77" t="s">
        <v>61</v>
      </c>
      <c r="B89" s="72"/>
      <c r="C89" s="79">
        <f>200*(MAX(C87:G87)-MIN(C87:G87))/(MAX(C87:G87)+MIN(C87:G87))</f>
        <v>7.6458752515090502</v>
      </c>
    </row>
    <row r="91" spans="1:7" ht="12">
      <c r="A91" s="3" t="s">
        <v>62</v>
      </c>
    </row>
    <row r="92" spans="1:7" ht="12">
      <c r="A92" s="77" t="s">
        <v>53</v>
      </c>
      <c r="B92" s="72"/>
      <c r="C92" s="17" t="s">
        <v>54</v>
      </c>
      <c r="D92" s="17" t="s">
        <v>55</v>
      </c>
      <c r="E92" s="17" t="s">
        <v>56</v>
      </c>
      <c r="F92" s="17" t="s">
        <v>57</v>
      </c>
      <c r="G92" s="17" t="s">
        <v>58</v>
      </c>
    </row>
    <row r="93" spans="1:7" ht="12">
      <c r="A93" s="29" t="s">
        <v>59</v>
      </c>
      <c r="B93" s="120"/>
      <c r="C93" s="158">
        <f>unfors!E53</f>
        <v>2.29</v>
      </c>
      <c r="D93" s="158">
        <f>unfors!E54</f>
        <v>2.5299999999999998</v>
      </c>
      <c r="E93" s="158">
        <f>unfors!E55</f>
        <v>2.3199999999999998</v>
      </c>
      <c r="F93" s="158">
        <f>unfors!E56</f>
        <v>2.2999999999999998</v>
      </c>
      <c r="G93" s="158">
        <f>unfors!E57</f>
        <v>2.2999999999999998</v>
      </c>
    </row>
    <row r="94" spans="1:7" ht="12">
      <c r="A94" s="78" t="s">
        <v>60</v>
      </c>
      <c r="B94" s="72"/>
      <c r="C94" s="72"/>
      <c r="D94" s="79">
        <f>100*($C$93-D93)/$C$93</f>
        <v>-10.480349344978157</v>
      </c>
      <c r="E94" s="79">
        <f>100*($C$93-E93)/$C$93</f>
        <v>-1.3100436681222623</v>
      </c>
      <c r="F94" s="79">
        <f>100*($C$93-F93)/$C$93</f>
        <v>-0.43668122270741427</v>
      </c>
      <c r="G94" s="79">
        <f>100*($C$93-G93)/$C$93</f>
        <v>-0.43668122270741427</v>
      </c>
    </row>
    <row r="95" spans="1:7" ht="12">
      <c r="A95" s="77" t="s">
        <v>61</v>
      </c>
      <c r="B95" s="72"/>
      <c r="C95" s="79">
        <f>200*(MAX(C93:G93)-MIN(C93:G93))/(MAX(C93:G93)+MIN(C93:G93))</f>
        <v>9.9585062240663813</v>
      </c>
    </row>
    <row r="97" spans="1:7" ht="12">
      <c r="A97" s="2" t="s">
        <v>72</v>
      </c>
    </row>
    <row r="98" spans="1:7" ht="12">
      <c r="A98" s="3" t="s">
        <v>52</v>
      </c>
    </row>
    <row r="99" spans="1:7" ht="12">
      <c r="A99" s="77" t="s">
        <v>53</v>
      </c>
      <c r="B99" s="72"/>
      <c r="C99" s="17" t="s">
        <v>54</v>
      </c>
      <c r="D99" s="17" t="s">
        <v>55</v>
      </c>
      <c r="E99" s="17" t="s">
        <v>56</v>
      </c>
      <c r="F99" s="17" t="s">
        <v>57</v>
      </c>
      <c r="G99" s="17" t="s">
        <v>58</v>
      </c>
    </row>
    <row r="100" spans="1:7" ht="12">
      <c r="A100" s="29" t="s">
        <v>59</v>
      </c>
      <c r="B100" s="120"/>
      <c r="C100" s="158">
        <f>unfors!E47</f>
        <v>200</v>
      </c>
      <c r="D100" s="158">
        <f>unfors!E48</f>
        <v>200</v>
      </c>
      <c r="E100" s="158">
        <f>unfors!E49</f>
        <v>196</v>
      </c>
      <c r="F100" s="158">
        <f>unfors!E50</f>
        <v>199</v>
      </c>
      <c r="G100" s="158">
        <f>unfors!E51</f>
        <v>197</v>
      </c>
    </row>
    <row r="101" spans="1:7" ht="12">
      <c r="A101" s="78" t="s">
        <v>60</v>
      </c>
      <c r="B101" s="72"/>
      <c r="C101" s="72"/>
      <c r="D101" s="79">
        <f>100*($C$100-D100)/$C$100</f>
        <v>0</v>
      </c>
      <c r="E101" s="79">
        <f>100*($C$100-E100)/$C$100</f>
        <v>2</v>
      </c>
      <c r="F101" s="79">
        <f>100*($C$100-F100)/$C$100</f>
        <v>0.5</v>
      </c>
      <c r="G101" s="79">
        <f>100*($C$100-G100)/$C$100</f>
        <v>1.5</v>
      </c>
    </row>
    <row r="102" spans="1:7" ht="12">
      <c r="A102" s="77" t="s">
        <v>61</v>
      </c>
      <c r="B102" s="72"/>
      <c r="C102" s="79">
        <f>200*(MAX(C100:G100)-MIN(C100:G100))/(MAX(C100:G100)+MIN(C100:G100))</f>
        <v>2.0202020202020203</v>
      </c>
    </row>
    <row r="104" spans="1:7" ht="12">
      <c r="A104" s="3" t="s">
        <v>62</v>
      </c>
    </row>
    <row r="105" spans="1:7" ht="12">
      <c r="A105" s="77" t="s">
        <v>53</v>
      </c>
      <c r="B105" s="72"/>
      <c r="C105" s="17" t="s">
        <v>54</v>
      </c>
      <c r="D105" s="17" t="s">
        <v>55</v>
      </c>
      <c r="E105" s="17" t="s">
        <v>56</v>
      </c>
      <c r="F105" s="17" t="s">
        <v>57</v>
      </c>
      <c r="G105" s="17" t="s">
        <v>58</v>
      </c>
    </row>
    <row r="106" spans="1:7" ht="12">
      <c r="A106" s="29" t="s">
        <v>59</v>
      </c>
      <c r="B106" s="120"/>
      <c r="C106" s="159">
        <f>unfors!E58</f>
        <v>190</v>
      </c>
      <c r="D106" s="159">
        <f>unfors!E59</f>
        <v>196</v>
      </c>
      <c r="E106" s="159">
        <f>unfors!E60</f>
        <v>192</v>
      </c>
      <c r="F106" s="159">
        <f>unfors!E61</f>
        <v>195</v>
      </c>
      <c r="G106" s="159">
        <f>unfors!E62</f>
        <v>189</v>
      </c>
    </row>
    <row r="107" spans="1:7" ht="12">
      <c r="A107" s="78" t="s">
        <v>60</v>
      </c>
      <c r="B107" s="72"/>
      <c r="C107" s="72"/>
      <c r="D107" s="79">
        <f>100*($C$106-D106)/$C$106</f>
        <v>-3.1578947368421053</v>
      </c>
      <c r="E107" s="79">
        <f>100*($C$106-E106)/$C$106</f>
        <v>-1.0526315789473684</v>
      </c>
      <c r="F107" s="79">
        <f>100*($C$106-F106)/$C$106</f>
        <v>-2.6315789473684212</v>
      </c>
      <c r="G107" s="79">
        <f>100*($C$106-G106)/$C$106</f>
        <v>0.52631578947368418</v>
      </c>
    </row>
    <row r="108" spans="1:7" ht="12">
      <c r="A108" s="77" t="s">
        <v>61</v>
      </c>
      <c r="B108" s="72"/>
      <c r="C108" s="79">
        <f>200*(MAX(C106:G106)-MIN(C106:G106))/(MAX(C106:G106)+MIN(C106:G106))</f>
        <v>3.6363636363636362</v>
      </c>
    </row>
    <row r="111" spans="1:7" ht="12">
      <c r="A111" s="3" t="s">
        <v>47</v>
      </c>
    </row>
    <row r="112" spans="1:7" ht="12">
      <c r="A112" s="72"/>
      <c r="B112" s="72"/>
      <c r="C112" s="255" t="s">
        <v>52</v>
      </c>
      <c r="D112" s="255"/>
      <c r="E112" s="255" t="s">
        <v>62</v>
      </c>
      <c r="F112" s="255"/>
      <c r="G112" s="6" t="s">
        <v>25</v>
      </c>
    </row>
    <row r="113" spans="1:7" ht="12">
      <c r="A113" s="28" t="s">
        <v>63</v>
      </c>
      <c r="C113" s="251" t="s">
        <v>65</v>
      </c>
      <c r="D113" s="251"/>
      <c r="E113" s="251" t="s">
        <v>65</v>
      </c>
      <c r="F113" s="251"/>
      <c r="G113" s="6">
        <v>1</v>
      </c>
    </row>
    <row r="114" spans="1:7" ht="12">
      <c r="A114" s="131" t="s">
        <v>64</v>
      </c>
      <c r="B114" s="71"/>
      <c r="C114" s="252" t="s">
        <v>65</v>
      </c>
      <c r="D114" s="252"/>
      <c r="E114" s="252" t="s">
        <v>65</v>
      </c>
      <c r="F114" s="252"/>
    </row>
  </sheetData>
  <mergeCells count="20">
    <mergeCell ref="A12:B12"/>
    <mergeCell ref="O12:P12"/>
    <mergeCell ref="A54:B54"/>
    <mergeCell ref="G54:G55"/>
    <mergeCell ref="O54:P54"/>
    <mergeCell ref="G12:G13"/>
    <mergeCell ref="C12:D12"/>
    <mergeCell ref="V54:W54"/>
    <mergeCell ref="X54:Z54"/>
    <mergeCell ref="S54:U54"/>
    <mergeCell ref="X12:Z12"/>
    <mergeCell ref="T12:U12"/>
    <mergeCell ref="V12:W12"/>
    <mergeCell ref="C113:D113"/>
    <mergeCell ref="C114:D114"/>
    <mergeCell ref="E113:F113"/>
    <mergeCell ref="E114:F114"/>
    <mergeCell ref="C54:D54"/>
    <mergeCell ref="C112:D112"/>
    <mergeCell ref="E112:F112"/>
  </mergeCells>
  <phoneticPr fontId="0" type="noConversion"/>
  <dataValidations count="2">
    <dataValidation type="list" allowBlank="1" showInputMessage="1" showErrorMessage="1" sqref="L14">
      <formula1>$O$5:$P$5</formula1>
    </dataValidation>
    <dataValidation type="list" showInputMessage="1" showErrorMessage="1" sqref="A13">
      <formula1>$O$5:$P$5</formula1>
    </dataValidation>
  </dataValidations>
  <pageMargins left="0.37" right="0.17" top="0.17" bottom="0.17" header="0.17" footer="0.17"/>
  <pageSetup paperSize="9" scale="91" orientation="portrait" r:id="rId1"/>
  <headerFooter alignWithMargins="0"/>
  <rowBreaks count="1" manualBreakCount="1">
    <brk id="76" max="9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9"/>
  <sheetViews>
    <sheetView workbookViewId="0">
      <selection activeCell="E3" sqref="E3"/>
    </sheetView>
  </sheetViews>
  <sheetFormatPr defaultRowHeight="13.2"/>
  <cols>
    <col min="13" max="13" width="10.109375" bestFit="1" customWidth="1"/>
  </cols>
  <sheetData>
    <row r="1" spans="1:15">
      <c r="A1" s="141">
        <v>5.7</v>
      </c>
      <c r="B1" t="s">
        <v>96</v>
      </c>
      <c r="E1" s="182"/>
      <c r="K1" s="185"/>
      <c r="L1" s="142"/>
      <c r="M1" s="185"/>
      <c r="N1" s="142"/>
    </row>
    <row r="2" spans="1:15">
      <c r="C2" s="185"/>
      <c r="D2" s="142"/>
      <c r="E2" s="182">
        <v>0</v>
      </c>
      <c r="F2" t="s">
        <v>94</v>
      </c>
      <c r="K2" s="185"/>
      <c r="L2" s="142"/>
      <c r="M2" s="185"/>
      <c r="N2" s="142"/>
    </row>
    <row r="3" spans="1:15">
      <c r="A3" t="s">
        <v>89</v>
      </c>
      <c r="J3" s="193"/>
      <c r="K3" s="185"/>
      <c r="L3" s="142"/>
      <c r="M3" s="193"/>
      <c r="N3" s="142"/>
    </row>
    <row r="4" spans="1:15">
      <c r="C4" s="185"/>
      <c r="D4" s="142"/>
      <c r="E4">
        <v>0.60099999999999998</v>
      </c>
      <c r="F4" t="s">
        <v>94</v>
      </c>
      <c r="J4" s="183"/>
      <c r="K4">
        <v>60</v>
      </c>
      <c r="L4" t="s">
        <v>119</v>
      </c>
      <c r="M4" s="185">
        <v>44996</v>
      </c>
      <c r="N4" s="142">
        <v>0.54105324074074079</v>
      </c>
      <c r="O4" t="s">
        <v>95</v>
      </c>
    </row>
    <row r="5" spans="1:15">
      <c r="E5">
        <v>1.51</v>
      </c>
      <c r="F5" t="s">
        <v>94</v>
      </c>
      <c r="J5" s="30"/>
      <c r="K5">
        <v>61</v>
      </c>
      <c r="L5" t="s">
        <v>119</v>
      </c>
      <c r="M5" s="185">
        <v>44996</v>
      </c>
      <c r="N5" s="142">
        <v>0.5411921296296297</v>
      </c>
      <c r="O5" t="s">
        <v>95</v>
      </c>
    </row>
    <row r="6" spans="1:15">
      <c r="E6">
        <v>3.05</v>
      </c>
      <c r="F6" t="s">
        <v>94</v>
      </c>
      <c r="J6" s="30"/>
      <c r="K6">
        <v>62</v>
      </c>
      <c r="L6" t="s">
        <v>119</v>
      </c>
      <c r="M6" s="185">
        <v>44996</v>
      </c>
      <c r="N6" s="142">
        <v>0.54122685185185182</v>
      </c>
      <c r="O6" t="s">
        <v>95</v>
      </c>
    </row>
    <row r="7" spans="1:15">
      <c r="E7">
        <v>5.43</v>
      </c>
      <c r="F7" t="s">
        <v>94</v>
      </c>
      <c r="J7" s="30"/>
      <c r="K7">
        <v>63</v>
      </c>
      <c r="L7" t="s">
        <v>119</v>
      </c>
      <c r="M7" s="185">
        <v>44996</v>
      </c>
      <c r="N7" s="142">
        <v>0.5412731481481482</v>
      </c>
      <c r="O7" t="s">
        <v>95</v>
      </c>
    </row>
    <row r="8" spans="1:15">
      <c r="E8">
        <v>8.7200000000000006</v>
      </c>
      <c r="F8" t="s">
        <v>94</v>
      </c>
      <c r="J8" s="30"/>
      <c r="K8">
        <v>64</v>
      </c>
      <c r="L8" t="s">
        <v>119</v>
      </c>
      <c r="M8" s="185">
        <v>44996</v>
      </c>
      <c r="N8" s="142">
        <v>0.54130787037037031</v>
      </c>
      <c r="O8" t="s">
        <v>95</v>
      </c>
    </row>
    <row r="9" spans="1:15">
      <c r="E9">
        <v>13.2</v>
      </c>
      <c r="F9" t="s">
        <v>94</v>
      </c>
      <c r="J9" s="30"/>
      <c r="K9">
        <v>65</v>
      </c>
      <c r="L9" t="s">
        <v>119</v>
      </c>
      <c r="M9" s="185">
        <v>44996</v>
      </c>
      <c r="N9" s="142">
        <v>0.54134259259259265</v>
      </c>
      <c r="O9" t="s">
        <v>95</v>
      </c>
    </row>
    <row r="10" spans="1:15">
      <c r="E10">
        <v>19.5</v>
      </c>
      <c r="F10" t="s">
        <v>94</v>
      </c>
      <c r="J10" s="30"/>
      <c r="K10">
        <v>66</v>
      </c>
      <c r="L10" t="s">
        <v>119</v>
      </c>
      <c r="M10" s="185">
        <v>44996</v>
      </c>
      <c r="N10" s="142">
        <v>0.54137731481481477</v>
      </c>
      <c r="O10" t="s">
        <v>95</v>
      </c>
    </row>
    <row r="11" spans="1:15">
      <c r="E11">
        <v>27.9</v>
      </c>
      <c r="F11" t="s">
        <v>94</v>
      </c>
      <c r="J11" s="30"/>
      <c r="K11">
        <v>67</v>
      </c>
      <c r="L11" t="s">
        <v>119</v>
      </c>
      <c r="M11" s="185">
        <v>44996</v>
      </c>
      <c r="N11" s="142">
        <v>0.54141203703703711</v>
      </c>
      <c r="O11" t="s">
        <v>95</v>
      </c>
    </row>
    <row r="12" spans="1:15">
      <c r="E12">
        <v>38.9</v>
      </c>
      <c r="F12" t="s">
        <v>94</v>
      </c>
      <c r="J12" s="30"/>
      <c r="K12">
        <v>68</v>
      </c>
      <c r="L12" t="s">
        <v>119</v>
      </c>
      <c r="M12" s="185">
        <v>44996</v>
      </c>
      <c r="N12" s="142">
        <v>0.54145833333333326</v>
      </c>
      <c r="O12" t="s">
        <v>95</v>
      </c>
    </row>
    <row r="13" spans="1:15">
      <c r="E13">
        <v>53.5</v>
      </c>
      <c r="F13" t="s">
        <v>94</v>
      </c>
      <c r="J13" s="30"/>
      <c r="K13">
        <v>69</v>
      </c>
      <c r="L13" t="s">
        <v>119</v>
      </c>
      <c r="M13" s="185">
        <v>44996</v>
      </c>
      <c r="N13" s="142">
        <v>0.54148148148148145</v>
      </c>
      <c r="O13" t="s">
        <v>95</v>
      </c>
    </row>
    <row r="14" spans="1:15">
      <c r="E14">
        <v>72.3</v>
      </c>
      <c r="F14" t="s">
        <v>94</v>
      </c>
      <c r="J14" s="30"/>
      <c r="K14">
        <v>70</v>
      </c>
      <c r="L14" t="s">
        <v>119</v>
      </c>
      <c r="M14" s="185">
        <v>44996</v>
      </c>
      <c r="N14" s="142">
        <v>0.54152777777777772</v>
      </c>
      <c r="O14" t="s">
        <v>95</v>
      </c>
    </row>
    <row r="15" spans="1:15">
      <c r="E15">
        <v>97</v>
      </c>
      <c r="F15" t="s">
        <v>94</v>
      </c>
      <c r="J15" s="30"/>
      <c r="K15">
        <v>71</v>
      </c>
      <c r="L15" t="s">
        <v>119</v>
      </c>
      <c r="M15" s="185">
        <v>44996</v>
      </c>
      <c r="N15" s="142">
        <v>0.54156250000000006</v>
      </c>
      <c r="O15" t="s">
        <v>95</v>
      </c>
    </row>
    <row r="16" spans="1:15">
      <c r="E16">
        <v>129</v>
      </c>
      <c r="F16" t="s">
        <v>94</v>
      </c>
      <c r="J16" s="30"/>
      <c r="K16">
        <v>72</v>
      </c>
      <c r="L16" t="s">
        <v>119</v>
      </c>
      <c r="M16" s="185">
        <v>44996</v>
      </c>
      <c r="N16" s="142">
        <v>0.54159722222222217</v>
      </c>
      <c r="O16" t="s">
        <v>95</v>
      </c>
    </row>
    <row r="17" spans="1:15">
      <c r="E17">
        <v>170</v>
      </c>
      <c r="F17" t="s">
        <v>94</v>
      </c>
      <c r="J17" s="30"/>
      <c r="K17">
        <v>73</v>
      </c>
      <c r="L17" t="s">
        <v>119</v>
      </c>
      <c r="M17" s="185">
        <v>44996</v>
      </c>
      <c r="N17" s="142">
        <v>0.54163194444444451</v>
      </c>
      <c r="O17" t="s">
        <v>95</v>
      </c>
    </row>
    <row r="18" spans="1:15">
      <c r="E18">
        <v>223</v>
      </c>
      <c r="F18" t="s">
        <v>94</v>
      </c>
      <c r="J18" s="30"/>
      <c r="K18">
        <v>74</v>
      </c>
      <c r="L18" t="s">
        <v>119</v>
      </c>
      <c r="M18" s="185">
        <v>44996</v>
      </c>
      <c r="N18" s="142">
        <v>0.54166666666666663</v>
      </c>
      <c r="O18" t="s">
        <v>95</v>
      </c>
    </row>
    <row r="19" spans="1:15">
      <c r="E19">
        <v>291</v>
      </c>
      <c r="F19" t="s">
        <v>94</v>
      </c>
      <c r="J19" s="30"/>
      <c r="K19">
        <v>75</v>
      </c>
      <c r="L19" t="s">
        <v>119</v>
      </c>
      <c r="M19" s="185">
        <v>44996</v>
      </c>
      <c r="N19" s="142">
        <v>0.54170138888888886</v>
      </c>
      <c r="O19" t="s">
        <v>95</v>
      </c>
    </row>
    <row r="20" spans="1:15">
      <c r="E20">
        <v>379</v>
      </c>
      <c r="F20" t="s">
        <v>94</v>
      </c>
      <c r="J20" s="30"/>
      <c r="K20">
        <v>76</v>
      </c>
      <c r="L20" t="s">
        <v>119</v>
      </c>
      <c r="M20" s="185">
        <v>44996</v>
      </c>
      <c r="N20" s="142">
        <v>0.54173611111111108</v>
      </c>
      <c r="O20" t="s">
        <v>95</v>
      </c>
    </row>
    <row r="21" spans="1:15">
      <c r="E21">
        <v>481</v>
      </c>
      <c r="F21" t="s">
        <v>94</v>
      </c>
      <c r="J21" s="30"/>
      <c r="K21">
        <v>77</v>
      </c>
      <c r="L21" t="s">
        <v>119</v>
      </c>
      <c r="M21" s="185">
        <v>44996</v>
      </c>
      <c r="N21" s="142">
        <v>0.54177083333333331</v>
      </c>
      <c r="O21" t="s">
        <v>95</v>
      </c>
    </row>
    <row r="22" spans="1:15">
      <c r="A22" t="s">
        <v>25</v>
      </c>
      <c r="J22" s="141"/>
      <c r="N22" s="142"/>
    </row>
    <row r="23" spans="1:15">
      <c r="E23">
        <v>0.53500000000000003</v>
      </c>
      <c r="F23" t="s">
        <v>94</v>
      </c>
      <c r="J23" s="183"/>
      <c r="K23">
        <v>78</v>
      </c>
      <c r="L23" s="182" t="s">
        <v>119</v>
      </c>
      <c r="M23" s="185">
        <v>44996</v>
      </c>
      <c r="N23" s="142">
        <v>0.54273148148148154</v>
      </c>
      <c r="O23" t="s">
        <v>95</v>
      </c>
    </row>
    <row r="24" spans="1:15">
      <c r="E24">
        <v>1.41</v>
      </c>
      <c r="F24" t="s">
        <v>94</v>
      </c>
      <c r="J24" s="30"/>
      <c r="K24">
        <v>79</v>
      </c>
      <c r="L24" s="183" t="s">
        <v>119</v>
      </c>
      <c r="M24" s="185">
        <v>44996</v>
      </c>
      <c r="N24" s="142">
        <v>0.5427777777777778</v>
      </c>
      <c r="O24" t="s">
        <v>95</v>
      </c>
    </row>
    <row r="25" spans="1:15">
      <c r="E25">
        <v>2.87</v>
      </c>
      <c r="F25" t="s">
        <v>94</v>
      </c>
      <c r="J25" s="30"/>
      <c r="K25">
        <v>80</v>
      </c>
      <c r="L25" s="30" t="s">
        <v>119</v>
      </c>
      <c r="M25" s="185">
        <v>44996</v>
      </c>
      <c r="N25" s="142">
        <v>0.54281250000000003</v>
      </c>
      <c r="O25" t="s">
        <v>95</v>
      </c>
    </row>
    <row r="26" spans="1:15">
      <c r="E26">
        <v>5.14</v>
      </c>
      <c r="F26" t="s">
        <v>94</v>
      </c>
      <c r="J26" s="30"/>
      <c r="K26">
        <v>81</v>
      </c>
      <c r="L26" s="30" t="s">
        <v>119</v>
      </c>
      <c r="M26" s="185">
        <v>44996</v>
      </c>
      <c r="N26" s="142">
        <v>0.54284722222222226</v>
      </c>
      <c r="O26" t="s">
        <v>95</v>
      </c>
    </row>
    <row r="27" spans="1:15">
      <c r="E27">
        <v>8.3000000000000007</v>
      </c>
      <c r="F27" t="s">
        <v>94</v>
      </c>
      <c r="J27" s="30"/>
      <c r="K27">
        <v>82</v>
      </c>
      <c r="L27" s="30" t="s">
        <v>119</v>
      </c>
      <c r="M27" s="185">
        <v>44996</v>
      </c>
      <c r="N27" s="142">
        <v>0.54288194444444449</v>
      </c>
      <c r="O27" t="s">
        <v>95</v>
      </c>
    </row>
    <row r="28" spans="1:15">
      <c r="E28">
        <v>12.6</v>
      </c>
      <c r="F28" t="s">
        <v>94</v>
      </c>
      <c r="J28" s="30"/>
      <c r="K28">
        <v>83</v>
      </c>
      <c r="L28" s="30" t="s">
        <v>119</v>
      </c>
      <c r="M28" s="185">
        <v>44996</v>
      </c>
      <c r="N28" s="142">
        <v>0.5429166666666666</v>
      </c>
      <c r="O28" t="s">
        <v>95</v>
      </c>
    </row>
    <row r="29" spans="1:15">
      <c r="E29">
        <v>18.7</v>
      </c>
      <c r="F29" t="s">
        <v>94</v>
      </c>
      <c r="J29" s="30"/>
      <c r="K29">
        <v>84</v>
      </c>
      <c r="L29" s="30" t="s">
        <v>119</v>
      </c>
      <c r="M29" s="185">
        <v>44996</v>
      </c>
      <c r="N29" s="142">
        <v>0.54295138888888894</v>
      </c>
      <c r="O29" t="s">
        <v>95</v>
      </c>
    </row>
    <row r="30" spans="1:15">
      <c r="E30">
        <v>26.6</v>
      </c>
      <c r="F30" t="s">
        <v>94</v>
      </c>
      <c r="J30" s="30"/>
      <c r="K30">
        <v>85</v>
      </c>
      <c r="L30" s="30" t="s">
        <v>119</v>
      </c>
      <c r="M30" s="185">
        <v>44996</v>
      </c>
      <c r="N30" s="142">
        <v>0.54298611111111106</v>
      </c>
      <c r="O30" t="s">
        <v>95</v>
      </c>
    </row>
    <row r="31" spans="1:15">
      <c r="E31">
        <v>37</v>
      </c>
      <c r="F31" t="s">
        <v>94</v>
      </c>
      <c r="J31" s="30"/>
      <c r="K31">
        <v>86</v>
      </c>
      <c r="L31" s="30" t="s">
        <v>119</v>
      </c>
      <c r="M31" s="185">
        <v>44996</v>
      </c>
      <c r="N31" s="142">
        <v>0.5430208333333334</v>
      </c>
      <c r="O31" t="s">
        <v>95</v>
      </c>
    </row>
    <row r="32" spans="1:15">
      <c r="E32">
        <v>51.1</v>
      </c>
      <c r="F32" t="s">
        <v>94</v>
      </c>
      <c r="J32" s="30"/>
      <c r="K32">
        <v>87</v>
      </c>
      <c r="L32" s="30" t="s">
        <v>119</v>
      </c>
      <c r="M32" s="185">
        <v>44996</v>
      </c>
      <c r="N32" s="142">
        <v>0.54305555555555551</v>
      </c>
      <c r="O32" t="s">
        <v>95</v>
      </c>
    </row>
    <row r="33" spans="1:15">
      <c r="E33">
        <v>69.3</v>
      </c>
      <c r="F33" t="s">
        <v>94</v>
      </c>
      <c r="J33" s="30"/>
      <c r="K33">
        <v>88</v>
      </c>
      <c r="L33" s="30" t="s">
        <v>119</v>
      </c>
      <c r="M33" s="185">
        <v>44996</v>
      </c>
      <c r="N33" s="142">
        <v>0.54309027777777774</v>
      </c>
      <c r="O33" t="s">
        <v>95</v>
      </c>
    </row>
    <row r="34" spans="1:15">
      <c r="E34">
        <v>92.6</v>
      </c>
      <c r="F34" t="s">
        <v>94</v>
      </c>
      <c r="J34" s="30"/>
      <c r="K34">
        <v>89</v>
      </c>
      <c r="L34" s="30" t="s">
        <v>119</v>
      </c>
      <c r="M34" s="185">
        <v>44996</v>
      </c>
      <c r="N34" s="142">
        <v>0.54313657407407401</v>
      </c>
      <c r="O34" t="s">
        <v>95</v>
      </c>
    </row>
    <row r="35" spans="1:15">
      <c r="E35">
        <v>123</v>
      </c>
      <c r="F35" t="s">
        <v>94</v>
      </c>
      <c r="J35" s="30"/>
      <c r="K35">
        <v>90</v>
      </c>
      <c r="L35" s="30" t="s">
        <v>119</v>
      </c>
      <c r="M35" s="185">
        <v>44996</v>
      </c>
      <c r="N35" s="142">
        <v>0.54317129629629635</v>
      </c>
      <c r="O35" t="s">
        <v>95</v>
      </c>
    </row>
    <row r="36" spans="1:15">
      <c r="E36">
        <v>163</v>
      </c>
      <c r="F36" t="s">
        <v>94</v>
      </c>
      <c r="J36" s="30"/>
      <c r="K36">
        <v>91</v>
      </c>
      <c r="L36" s="30" t="s">
        <v>119</v>
      </c>
      <c r="M36" s="185">
        <v>44996</v>
      </c>
      <c r="N36" s="142">
        <v>0.54320601851851846</v>
      </c>
      <c r="O36" t="s">
        <v>95</v>
      </c>
    </row>
    <row r="37" spans="1:15">
      <c r="E37">
        <v>215</v>
      </c>
      <c r="F37" t="s">
        <v>94</v>
      </c>
      <c r="J37" s="30"/>
      <c r="K37">
        <v>92</v>
      </c>
      <c r="L37" s="30" t="s">
        <v>119</v>
      </c>
      <c r="M37" s="185">
        <v>44996</v>
      </c>
      <c r="N37" s="142">
        <v>0.5432407407407408</v>
      </c>
      <c r="O37" t="s">
        <v>95</v>
      </c>
    </row>
    <row r="38" spans="1:15">
      <c r="E38">
        <v>281</v>
      </c>
      <c r="F38" t="s">
        <v>94</v>
      </c>
      <c r="J38" s="30"/>
      <c r="K38">
        <v>93</v>
      </c>
      <c r="L38" s="30" t="s">
        <v>119</v>
      </c>
      <c r="M38" s="185">
        <v>44996</v>
      </c>
      <c r="N38" s="142">
        <v>0.54327546296296292</v>
      </c>
      <c r="O38" t="s">
        <v>95</v>
      </c>
    </row>
    <row r="39" spans="1:15">
      <c r="E39">
        <v>361</v>
      </c>
      <c r="F39" t="s">
        <v>94</v>
      </c>
      <c r="J39" s="30"/>
      <c r="K39">
        <v>94</v>
      </c>
      <c r="L39" s="30" t="s">
        <v>119</v>
      </c>
      <c r="M39" s="185">
        <v>44996</v>
      </c>
      <c r="N39" s="142">
        <v>0.5433217592592593</v>
      </c>
      <c r="O39" t="s">
        <v>95</v>
      </c>
    </row>
    <row r="40" spans="1:15">
      <c r="E40">
        <v>462</v>
      </c>
      <c r="F40" t="s">
        <v>94</v>
      </c>
      <c r="J40" s="30"/>
      <c r="K40">
        <v>95</v>
      </c>
      <c r="L40" s="30" t="s">
        <v>119</v>
      </c>
      <c r="M40" s="185">
        <v>44996</v>
      </c>
      <c r="N40" s="142">
        <v>0.54336805555555556</v>
      </c>
      <c r="O40" t="s">
        <v>95</v>
      </c>
    </row>
    <row r="41" spans="1:15">
      <c r="A41" t="s">
        <v>90</v>
      </c>
      <c r="J41" s="141"/>
      <c r="L41" s="30"/>
    </row>
    <row r="42" spans="1:15">
      <c r="C42" s="185"/>
      <c r="D42" s="142"/>
      <c r="E42">
        <v>2.42</v>
      </c>
      <c r="F42" t="s">
        <v>94</v>
      </c>
      <c r="J42" s="13"/>
      <c r="K42">
        <v>96</v>
      </c>
      <c r="L42" t="s">
        <v>119</v>
      </c>
      <c r="M42" s="185">
        <v>44996</v>
      </c>
      <c r="N42" s="142">
        <v>0.54451388888888885</v>
      </c>
      <c r="O42" t="s">
        <v>95</v>
      </c>
    </row>
    <row r="43" spans="1:15">
      <c r="E43">
        <v>2.39</v>
      </c>
      <c r="F43" t="s">
        <v>94</v>
      </c>
      <c r="J43" s="13"/>
      <c r="K43">
        <v>97</v>
      </c>
      <c r="L43" t="s">
        <v>119</v>
      </c>
      <c r="M43" s="185">
        <v>44996</v>
      </c>
      <c r="N43" s="142">
        <v>0.54456018518518523</v>
      </c>
      <c r="O43" t="s">
        <v>95</v>
      </c>
    </row>
    <row r="44" spans="1:15">
      <c r="E44">
        <v>2.58</v>
      </c>
      <c r="F44" t="s">
        <v>94</v>
      </c>
      <c r="J44" s="141"/>
      <c r="K44">
        <v>98</v>
      </c>
      <c r="L44" t="s">
        <v>119</v>
      </c>
      <c r="M44" s="185">
        <v>44996</v>
      </c>
      <c r="N44" s="142">
        <v>0.54461805555555554</v>
      </c>
      <c r="O44" t="s">
        <v>95</v>
      </c>
    </row>
    <row r="45" spans="1:15">
      <c r="E45">
        <v>2.39</v>
      </c>
      <c r="F45" t="s">
        <v>94</v>
      </c>
      <c r="J45" s="13"/>
      <c r="K45">
        <v>99</v>
      </c>
      <c r="L45" t="s">
        <v>119</v>
      </c>
      <c r="M45" s="185">
        <v>44996</v>
      </c>
      <c r="N45" s="142">
        <v>0.54467592592592595</v>
      </c>
      <c r="O45" t="s">
        <v>95</v>
      </c>
    </row>
    <row r="46" spans="1:15">
      <c r="E46">
        <v>2.56</v>
      </c>
      <c r="F46" t="s">
        <v>94</v>
      </c>
      <c r="J46" s="13"/>
      <c r="K46">
        <v>100</v>
      </c>
      <c r="L46" t="s">
        <v>119</v>
      </c>
      <c r="M46" s="185">
        <v>44996</v>
      </c>
      <c r="N46" s="142">
        <v>0.54472222222222222</v>
      </c>
      <c r="O46" t="s">
        <v>95</v>
      </c>
    </row>
    <row r="47" spans="1:15">
      <c r="E47">
        <v>200</v>
      </c>
      <c r="F47" t="s">
        <v>94</v>
      </c>
      <c r="J47" s="141"/>
      <c r="K47">
        <v>101</v>
      </c>
      <c r="L47" t="s">
        <v>119</v>
      </c>
      <c r="M47" s="185">
        <v>44996</v>
      </c>
      <c r="N47" s="142">
        <v>0.54484953703703709</v>
      </c>
      <c r="O47" t="s">
        <v>95</v>
      </c>
    </row>
    <row r="48" spans="1:15">
      <c r="E48">
        <v>200</v>
      </c>
      <c r="F48" t="s">
        <v>94</v>
      </c>
      <c r="J48" s="141"/>
      <c r="K48">
        <v>102</v>
      </c>
      <c r="L48" t="s">
        <v>119</v>
      </c>
      <c r="M48" s="185">
        <v>44996</v>
      </c>
      <c r="N48" s="142">
        <v>0.54489583333333336</v>
      </c>
      <c r="O48" t="s">
        <v>95</v>
      </c>
    </row>
    <row r="49" spans="1:15">
      <c r="E49">
        <v>196</v>
      </c>
      <c r="F49" t="s">
        <v>94</v>
      </c>
      <c r="J49" s="141"/>
      <c r="K49">
        <v>103</v>
      </c>
      <c r="L49" t="s">
        <v>119</v>
      </c>
      <c r="M49" s="185">
        <v>44996</v>
      </c>
      <c r="N49" s="142">
        <v>0.54493055555555558</v>
      </c>
      <c r="O49" t="s">
        <v>95</v>
      </c>
    </row>
    <row r="50" spans="1:15">
      <c r="E50">
        <v>199</v>
      </c>
      <c r="F50" t="s">
        <v>94</v>
      </c>
      <c r="J50" s="13"/>
      <c r="K50">
        <v>104</v>
      </c>
      <c r="L50" t="s">
        <v>119</v>
      </c>
      <c r="M50" s="185">
        <v>44996</v>
      </c>
      <c r="N50" s="142">
        <v>0.54496527777777781</v>
      </c>
      <c r="O50" t="s">
        <v>95</v>
      </c>
    </row>
    <row r="51" spans="1:15">
      <c r="E51">
        <v>197</v>
      </c>
      <c r="F51" t="s">
        <v>94</v>
      </c>
      <c r="J51" s="13"/>
      <c r="K51">
        <v>105</v>
      </c>
      <c r="L51" t="s">
        <v>119</v>
      </c>
      <c r="M51" s="185">
        <v>44996</v>
      </c>
      <c r="N51" s="142">
        <v>0.54501157407407408</v>
      </c>
      <c r="O51" t="s">
        <v>95</v>
      </c>
    </row>
    <row r="52" spans="1:15">
      <c r="A52" t="s">
        <v>91</v>
      </c>
      <c r="E52">
        <v>2.29</v>
      </c>
      <c r="F52" t="s">
        <v>94</v>
      </c>
      <c r="J52" s="8"/>
      <c r="K52">
        <v>106</v>
      </c>
      <c r="L52" t="s">
        <v>119</v>
      </c>
      <c r="M52" s="185">
        <v>44996</v>
      </c>
      <c r="N52" s="142">
        <v>0.54517361111111107</v>
      </c>
      <c r="O52" t="s">
        <v>95</v>
      </c>
    </row>
    <row r="53" spans="1:15">
      <c r="E53">
        <v>2.29</v>
      </c>
      <c r="F53" t="s">
        <v>94</v>
      </c>
      <c r="J53" s="13"/>
      <c r="K53">
        <v>107</v>
      </c>
      <c r="L53" t="s">
        <v>119</v>
      </c>
      <c r="M53" s="185">
        <v>44996</v>
      </c>
      <c r="N53" s="142">
        <v>0.54524305555555552</v>
      </c>
      <c r="O53" t="s">
        <v>95</v>
      </c>
    </row>
    <row r="54" spans="1:15">
      <c r="E54">
        <v>2.5299999999999998</v>
      </c>
      <c r="F54" t="s">
        <v>94</v>
      </c>
      <c r="J54" s="13"/>
      <c r="K54">
        <v>108</v>
      </c>
      <c r="L54" t="s">
        <v>119</v>
      </c>
      <c r="M54" s="185">
        <v>44996</v>
      </c>
      <c r="N54" s="142">
        <v>0.54527777777777775</v>
      </c>
      <c r="O54" t="s">
        <v>95</v>
      </c>
    </row>
    <row r="55" spans="1:15">
      <c r="E55">
        <v>2.3199999999999998</v>
      </c>
      <c r="F55" t="s">
        <v>94</v>
      </c>
      <c r="J55" s="141"/>
      <c r="K55">
        <v>109</v>
      </c>
      <c r="L55" t="s">
        <v>119</v>
      </c>
      <c r="M55" s="185">
        <v>44996</v>
      </c>
      <c r="N55" s="142">
        <v>0.54532407407407402</v>
      </c>
      <c r="O55" t="s">
        <v>95</v>
      </c>
    </row>
    <row r="56" spans="1:15">
      <c r="E56">
        <v>2.2999999999999998</v>
      </c>
      <c r="F56" t="s">
        <v>94</v>
      </c>
      <c r="J56" s="13"/>
      <c r="K56">
        <v>110</v>
      </c>
      <c r="L56" t="s">
        <v>119</v>
      </c>
      <c r="M56" s="185">
        <v>44996</v>
      </c>
      <c r="N56" s="142">
        <v>0.54535879629629636</v>
      </c>
      <c r="O56" t="s">
        <v>95</v>
      </c>
    </row>
    <row r="57" spans="1:15">
      <c r="E57">
        <v>2.2999999999999998</v>
      </c>
      <c r="F57" t="s">
        <v>94</v>
      </c>
      <c r="J57" s="13"/>
      <c r="K57">
        <v>111</v>
      </c>
      <c r="L57" t="s">
        <v>119</v>
      </c>
      <c r="M57" s="185">
        <v>44996</v>
      </c>
      <c r="N57" s="142">
        <v>0.54539351851851847</v>
      </c>
      <c r="O57" t="s">
        <v>95</v>
      </c>
    </row>
    <row r="58" spans="1:15">
      <c r="C58" s="185"/>
      <c r="D58" s="142"/>
      <c r="E58">
        <v>190</v>
      </c>
      <c r="F58" t="s">
        <v>94</v>
      </c>
      <c r="J58" s="13"/>
      <c r="K58">
        <v>112</v>
      </c>
      <c r="L58" t="s">
        <v>119</v>
      </c>
      <c r="M58" s="185">
        <v>44996</v>
      </c>
      <c r="N58" s="142">
        <v>0.54546296296296293</v>
      </c>
      <c r="O58" t="s">
        <v>95</v>
      </c>
    </row>
    <row r="59" spans="1:15">
      <c r="C59" s="185"/>
      <c r="D59" s="142"/>
      <c r="E59">
        <v>196</v>
      </c>
      <c r="F59" t="s">
        <v>94</v>
      </c>
      <c r="J59" s="13"/>
      <c r="K59">
        <v>113</v>
      </c>
      <c r="L59" t="s">
        <v>119</v>
      </c>
      <c r="M59" s="185">
        <v>44996</v>
      </c>
      <c r="N59" s="142">
        <v>0.54549768518518515</v>
      </c>
      <c r="O59" t="s">
        <v>95</v>
      </c>
    </row>
    <row r="60" spans="1:15">
      <c r="E60">
        <v>192</v>
      </c>
      <c r="F60" t="s">
        <v>94</v>
      </c>
      <c r="J60" s="13"/>
      <c r="K60">
        <v>114</v>
      </c>
      <c r="L60" t="s">
        <v>119</v>
      </c>
      <c r="M60" s="185">
        <v>44996</v>
      </c>
      <c r="N60" s="142">
        <v>0.54553240740740738</v>
      </c>
      <c r="O60" t="s">
        <v>95</v>
      </c>
    </row>
    <row r="61" spans="1:15">
      <c r="E61">
        <v>195</v>
      </c>
      <c r="F61" t="s">
        <v>94</v>
      </c>
      <c r="J61" s="13"/>
      <c r="K61">
        <v>115</v>
      </c>
      <c r="L61" t="s">
        <v>119</v>
      </c>
      <c r="M61" s="185">
        <v>44996</v>
      </c>
      <c r="N61" s="142">
        <v>0.54556712962962961</v>
      </c>
      <c r="O61" t="s">
        <v>95</v>
      </c>
    </row>
    <row r="62" spans="1:15">
      <c r="E62">
        <v>189</v>
      </c>
      <c r="F62" t="s">
        <v>94</v>
      </c>
      <c r="J62" s="13"/>
      <c r="K62">
        <v>116</v>
      </c>
      <c r="L62" t="s">
        <v>119</v>
      </c>
      <c r="M62" s="185">
        <v>44996</v>
      </c>
      <c r="N62" s="142">
        <v>0.54561342592592588</v>
      </c>
      <c r="O62" t="s">
        <v>95</v>
      </c>
    </row>
    <row r="63" spans="1:15">
      <c r="E63" s="13"/>
    </row>
    <row r="64" spans="1:15">
      <c r="E64" s="13"/>
    </row>
    <row r="65" spans="4:15">
      <c r="E65" s="8"/>
    </row>
    <row r="66" spans="4:15">
      <c r="E66" s="8"/>
    </row>
    <row r="67" spans="4:15">
      <c r="D67" t="s">
        <v>121</v>
      </c>
    </row>
    <row r="68" spans="4:15">
      <c r="D68">
        <v>1</v>
      </c>
      <c r="E68">
        <v>474</v>
      </c>
      <c r="F68" t="s">
        <v>94</v>
      </c>
      <c r="J68" s="30"/>
      <c r="K68">
        <v>117</v>
      </c>
      <c r="L68" t="s">
        <v>119</v>
      </c>
      <c r="M68" s="185" t="s">
        <v>120</v>
      </c>
      <c r="N68" s="142">
        <v>0.66137731481481488</v>
      </c>
      <c r="O68" t="s">
        <v>95</v>
      </c>
    </row>
    <row r="69" spans="4:15">
      <c r="D69">
        <v>2</v>
      </c>
      <c r="E69" s="8">
        <v>472</v>
      </c>
      <c r="F69" t="s">
        <v>94</v>
      </c>
      <c r="K69">
        <v>156</v>
      </c>
      <c r="L69" t="s">
        <v>119</v>
      </c>
      <c r="M69" t="s">
        <v>120</v>
      </c>
      <c r="N69" s="142">
        <v>0.66612268518518525</v>
      </c>
      <c r="O69" t="s">
        <v>95</v>
      </c>
    </row>
    <row r="70" spans="4:15">
      <c r="D70">
        <v>3</v>
      </c>
      <c r="E70">
        <v>470</v>
      </c>
      <c r="F70" t="s">
        <v>94</v>
      </c>
      <c r="J70" s="30"/>
      <c r="K70">
        <v>157</v>
      </c>
      <c r="L70" t="s">
        <v>119</v>
      </c>
      <c r="M70" s="185" t="s">
        <v>120</v>
      </c>
      <c r="N70" s="142">
        <v>0.66615740740740736</v>
      </c>
      <c r="O70" t="s">
        <v>95</v>
      </c>
    </row>
    <row r="71" spans="4:15">
      <c r="D71">
        <v>4</v>
      </c>
      <c r="E71" s="8">
        <v>474</v>
      </c>
      <c r="F71" t="s">
        <v>94</v>
      </c>
      <c r="K71">
        <v>158</v>
      </c>
      <c r="L71" t="s">
        <v>119</v>
      </c>
      <c r="M71" t="s">
        <v>120</v>
      </c>
      <c r="N71" s="142">
        <v>0.66620370370370374</v>
      </c>
      <c r="O71" t="s">
        <v>95</v>
      </c>
    </row>
    <row r="72" spans="4:15">
      <c r="D72">
        <v>5</v>
      </c>
      <c r="E72" s="8">
        <v>477</v>
      </c>
      <c r="F72" t="s">
        <v>94</v>
      </c>
      <c r="K72">
        <v>159</v>
      </c>
      <c r="L72" t="s">
        <v>119</v>
      </c>
      <c r="M72" t="s">
        <v>120</v>
      </c>
      <c r="N72" s="142">
        <v>0.66625000000000001</v>
      </c>
      <c r="O72" t="s">
        <v>95</v>
      </c>
    </row>
    <row r="73" spans="4:15">
      <c r="D73">
        <v>6</v>
      </c>
      <c r="E73">
        <v>478</v>
      </c>
      <c r="F73" t="s">
        <v>94</v>
      </c>
      <c r="K73">
        <v>160</v>
      </c>
      <c r="L73" t="s">
        <v>119</v>
      </c>
      <c r="M73" t="s">
        <v>120</v>
      </c>
      <c r="N73" s="142">
        <v>0.66629629629629628</v>
      </c>
      <c r="O73" t="s">
        <v>95</v>
      </c>
    </row>
    <row r="74" spans="4:15">
      <c r="D74">
        <v>7</v>
      </c>
      <c r="E74">
        <v>479</v>
      </c>
      <c r="F74" t="s">
        <v>94</v>
      </c>
      <c r="K74">
        <v>161</v>
      </c>
      <c r="L74" t="s">
        <v>119</v>
      </c>
      <c r="M74" t="s">
        <v>120</v>
      </c>
      <c r="N74" s="142">
        <v>0.66634259259259265</v>
      </c>
      <c r="O74" t="s">
        <v>95</v>
      </c>
    </row>
    <row r="75" spans="4:15">
      <c r="D75">
        <v>8</v>
      </c>
      <c r="E75">
        <v>477</v>
      </c>
      <c r="F75" t="s">
        <v>94</v>
      </c>
      <c r="K75">
        <v>162</v>
      </c>
      <c r="L75" t="s">
        <v>119</v>
      </c>
      <c r="M75" t="s">
        <v>120</v>
      </c>
      <c r="N75" s="142">
        <v>0.66636574074074073</v>
      </c>
      <c r="O75" t="s">
        <v>95</v>
      </c>
    </row>
    <row r="76" spans="4:15">
      <c r="D76">
        <v>9</v>
      </c>
      <c r="E76">
        <v>474</v>
      </c>
      <c r="F76" t="s">
        <v>94</v>
      </c>
      <c r="K76">
        <v>163</v>
      </c>
      <c r="L76" t="s">
        <v>119</v>
      </c>
      <c r="M76" t="s">
        <v>120</v>
      </c>
      <c r="N76" s="142">
        <v>0.66642361111111115</v>
      </c>
      <c r="O76" t="s">
        <v>95</v>
      </c>
    </row>
    <row r="77" spans="4:15">
      <c r="D77">
        <v>10</v>
      </c>
      <c r="E77">
        <v>472</v>
      </c>
      <c r="F77" t="s">
        <v>94</v>
      </c>
      <c r="K77">
        <v>164</v>
      </c>
      <c r="L77" t="s">
        <v>119</v>
      </c>
      <c r="M77" t="s">
        <v>120</v>
      </c>
      <c r="N77" s="142">
        <v>0.66646990740740741</v>
      </c>
      <c r="O77" t="s">
        <v>95</v>
      </c>
    </row>
    <row r="78" spans="4:15">
      <c r="D78">
        <v>11</v>
      </c>
      <c r="E78">
        <v>477</v>
      </c>
      <c r="F78" t="s">
        <v>94</v>
      </c>
      <c r="K78">
        <v>165</v>
      </c>
      <c r="L78" t="s">
        <v>119</v>
      </c>
      <c r="M78" t="s">
        <v>120</v>
      </c>
      <c r="N78" s="142">
        <v>0.66650462962962964</v>
      </c>
      <c r="O78" t="s">
        <v>95</v>
      </c>
    </row>
    <row r="79" spans="4:15">
      <c r="D79">
        <v>12</v>
      </c>
      <c r="E79">
        <v>479</v>
      </c>
      <c r="F79" t="s">
        <v>94</v>
      </c>
      <c r="K79">
        <v>166</v>
      </c>
      <c r="L79" t="s">
        <v>119</v>
      </c>
      <c r="M79" t="s">
        <v>120</v>
      </c>
      <c r="N79" s="142">
        <v>0.66655092592592591</v>
      </c>
      <c r="O79" t="s">
        <v>95</v>
      </c>
    </row>
  </sheetData>
  <phoneticPr fontId="9" type="noConversion"/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QAReport</vt:lpstr>
      <vt:lpstr>TG18</vt:lpstr>
      <vt:lpstr>unfors</vt:lpstr>
      <vt:lpstr>QAReport!Print_Area</vt:lpstr>
      <vt:lpstr>TG18!Print_Area</vt:lpstr>
    </vt:vector>
  </TitlesOfParts>
  <Company>Hammersmith Hospitals NHS Trust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Hammersmith Hospitals NHS Trust</dc:creator>
  <cp:lastModifiedBy>Alistair Mackenzie</cp:lastModifiedBy>
  <cp:lastPrinted>2022-07-21T13:38:02Z</cp:lastPrinted>
  <dcterms:created xsi:type="dcterms:W3CDTF">2004-02-27T14:34:41Z</dcterms:created>
  <dcterms:modified xsi:type="dcterms:W3CDTF">2025-07-01T10:47:51Z</dcterms:modified>
</cp:coreProperties>
</file>